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E:\helene.methot\Documents\Travail\CEPOQ\Projets_RetD\SEMRPQ_Outil Économique\FINAUX\"/>
    </mc:Choice>
  </mc:AlternateContent>
  <xr:revisionPtr revIDLastSave="0" documentId="12_ncr:500000_{00A89E92-C843-41F9-B8EA-887029874705}" xr6:coauthVersionLast="31" xr6:coauthVersionMax="31" xr10:uidLastSave="{00000000-0000-0000-0000-000000000000}"/>
  <workbookProtection workbookAlgorithmName="SHA-512" workbookHashValue="UYwAD1no3fd4BaRC39jvzvNk9TLyNvZlCb41Xiotu2DzePRSPBjK3Xt23zGTYlQ1mE8Pee5/wkfPGICwlfBSOw==" workbookSaltValue="zo4izFceoleW5PAjraZ0MA==" workbookSpinCount="100000" lockStructure="1"/>
  <bookViews>
    <workbookView xWindow="0" yWindow="0" windowWidth="28800" windowHeight="12840" xr2:uid="{00000000-000D-0000-FFFF-FFFF00000000}"/>
  </bookViews>
  <sheets>
    <sheet name="Accueil" sheetId="7" r:id="rId1"/>
    <sheet name="CONSIGNES" sheetId="5" r:id="rId2"/>
    <sheet name="DONNÉES À ENTRER" sheetId="1" r:id="rId3"/>
    <sheet name="Grille de calculs - PROLIFIQUE" sheetId="2" r:id="rId4"/>
    <sheet name="Sommaire des résultats" sheetId="4" r:id="rId5"/>
  </sheets>
  <definedNames>
    <definedName name="_xlnm.Print_Titles" localSheetId="2">'DONNÉES À ENTRER'!$1:$3</definedName>
    <definedName name="_xlnm.Print_Titles" localSheetId="3">'Grille de calculs - PROLIFIQUE'!$3:$5</definedName>
    <definedName name="_xlnm.Print_Area" localSheetId="2">'DONNÉES À ENTRER'!$A$1:$H$140</definedName>
  </definedNames>
  <calcPr calcId="162913"/>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6" i="2" l="1"/>
  <c r="H56" i="2" s="1"/>
  <c r="F56" i="2"/>
  <c r="E56" i="2"/>
  <c r="D56" i="2"/>
  <c r="G62" i="2"/>
  <c r="H62" i="2" s="1"/>
  <c r="F80" i="2" l="1"/>
  <c r="I56" i="2"/>
  <c r="I62" i="2"/>
  <c r="P64" i="2"/>
  <c r="P65" i="2"/>
  <c r="P66" i="2"/>
  <c r="P67" i="2"/>
  <c r="P68" i="2"/>
  <c r="P69" i="2"/>
  <c r="P70" i="2"/>
  <c r="P71" i="2"/>
  <c r="P72" i="2"/>
  <c r="P73" i="2"/>
  <c r="P74" i="2"/>
  <c r="P75" i="2"/>
  <c r="P58" i="2"/>
  <c r="P59" i="2"/>
  <c r="P60" i="2"/>
  <c r="P61" i="2"/>
  <c r="P55" i="2"/>
  <c r="P17" i="2"/>
  <c r="D127" i="1" l="1"/>
  <c r="D101" i="1"/>
  <c r="D108" i="1"/>
  <c r="B118" i="1"/>
  <c r="D118" i="1"/>
  <c r="L66" i="1" l="1"/>
  <c r="L64" i="1"/>
  <c r="L62" i="1"/>
  <c r="L60" i="1"/>
  <c r="L58" i="1"/>
  <c r="L56" i="1"/>
  <c r="J66" i="1"/>
  <c r="J64" i="1"/>
  <c r="J62" i="1"/>
  <c r="J60" i="1"/>
  <c r="J58" i="1"/>
  <c r="J56" i="1"/>
  <c r="L8" i="2" l="1"/>
  <c r="L9" i="2" s="1"/>
  <c r="M8" i="2"/>
  <c r="K8" i="2"/>
  <c r="K9" i="2" s="1"/>
  <c r="E8" i="2"/>
  <c r="E9" i="2" s="1"/>
  <c r="D8" i="2"/>
  <c r="D9" i="2" s="1"/>
  <c r="F8" i="2"/>
  <c r="D83" i="2"/>
  <c r="D140" i="1"/>
  <c r="D139" i="1"/>
  <c r="D138" i="1"/>
  <c r="D137" i="1"/>
  <c r="B140" i="1"/>
  <c r="B139" i="1"/>
  <c r="B138" i="1"/>
  <c r="B137" i="1"/>
  <c r="E83" i="2" s="1"/>
  <c r="I78" i="2"/>
  <c r="I61" i="2" l="1"/>
  <c r="I41" i="2"/>
  <c r="I24" i="2"/>
  <c r="L75" i="2"/>
  <c r="L70" i="2"/>
  <c r="L69" i="2"/>
  <c r="K75" i="2"/>
  <c r="P38" i="2"/>
  <c r="P39" i="2"/>
  <c r="P40" i="2"/>
  <c r="P43" i="2"/>
  <c r="P44" i="2"/>
  <c r="P46" i="2"/>
  <c r="P47" i="2"/>
  <c r="P21" i="2"/>
  <c r="P22" i="2"/>
  <c r="P23" i="2"/>
  <c r="P26" i="2"/>
  <c r="P27" i="2"/>
  <c r="P29" i="2"/>
  <c r="P30" i="2"/>
  <c r="P31" i="2"/>
  <c r="P32" i="2"/>
  <c r="M62" i="2"/>
  <c r="P62" i="2" s="1"/>
  <c r="M42" i="2"/>
  <c r="D71" i="1"/>
  <c r="D69" i="1" l="1"/>
  <c r="D68" i="1"/>
  <c r="M25" i="2"/>
  <c r="K20" i="2"/>
  <c r="M76" i="2"/>
  <c r="D70" i="1"/>
  <c r="L13" i="2"/>
  <c r="M19" i="2"/>
  <c r="P82" i="2"/>
  <c r="P81" i="2"/>
  <c r="P79" i="2"/>
  <c r="P52" i="2"/>
  <c r="P50" i="2"/>
  <c r="O49" i="2"/>
  <c r="P14" i="2"/>
  <c r="P13" i="2"/>
  <c r="P10" i="2"/>
  <c r="P9" i="2"/>
  <c r="P7" i="2"/>
  <c r="L28" i="2" l="1"/>
  <c r="L35" i="2" s="1"/>
  <c r="L20" i="2"/>
  <c r="N16" i="2"/>
  <c r="O16" i="2" s="1"/>
  <c r="N15" i="2"/>
  <c r="O15" i="2" s="1"/>
  <c r="K13" i="2"/>
  <c r="K19" i="2"/>
  <c r="N19" i="2"/>
  <c r="O19" i="2" s="1"/>
  <c r="N18" i="2"/>
  <c r="O18" i="2" s="1"/>
  <c r="N20" i="2"/>
  <c r="O20" i="2" s="1"/>
  <c r="L19" i="2"/>
  <c r="M20" i="2"/>
  <c r="L45" i="2"/>
  <c r="L76" i="2" s="1"/>
  <c r="M28" i="2"/>
  <c r="K12" i="2"/>
  <c r="L12" i="2"/>
  <c r="M12" i="2"/>
  <c r="K28" i="2"/>
  <c r="K45" i="2"/>
  <c r="K76" i="2" s="1"/>
  <c r="I10" i="2"/>
  <c r="D75" i="1"/>
  <c r="D44" i="1"/>
  <c r="D45" i="1" s="1"/>
  <c r="D46" i="1" s="1"/>
  <c r="P19" i="2" l="1"/>
  <c r="P20" i="2"/>
  <c r="L33" i="2"/>
  <c r="K53" i="2"/>
  <c r="K54" i="2"/>
  <c r="K57" i="2"/>
  <c r="K35" i="2"/>
  <c r="K33" i="2"/>
  <c r="N34" i="2"/>
  <c r="O34" i="2" s="1"/>
  <c r="N33" i="2"/>
  <c r="O33" i="2" s="1"/>
  <c r="M33" i="2"/>
  <c r="M35" i="2"/>
  <c r="N37" i="2"/>
  <c r="O37" i="2" s="1"/>
  <c r="N35" i="2"/>
  <c r="O35" i="2" s="1"/>
  <c r="L66" i="2"/>
  <c r="L53" i="2"/>
  <c r="L54" i="2"/>
  <c r="L57" i="2"/>
  <c r="M45" i="2"/>
  <c r="K66" i="2"/>
  <c r="H49" i="2"/>
  <c r="I7" i="2"/>
  <c r="I9" i="2"/>
  <c r="I13" i="2"/>
  <c r="I14" i="2"/>
  <c r="I17" i="2"/>
  <c r="I21" i="2"/>
  <c r="I22" i="2"/>
  <c r="I23" i="2"/>
  <c r="I26" i="2"/>
  <c r="I27" i="2"/>
  <c r="I29" i="2"/>
  <c r="I30" i="2"/>
  <c r="I31" i="2"/>
  <c r="I32" i="2"/>
  <c r="I36" i="2"/>
  <c r="I38" i="2"/>
  <c r="I39" i="2"/>
  <c r="I40" i="2"/>
  <c r="I43" i="2"/>
  <c r="I44" i="2"/>
  <c r="I46" i="2"/>
  <c r="I47" i="2"/>
  <c r="I50" i="2"/>
  <c r="I52" i="2"/>
  <c r="I55" i="2"/>
  <c r="I58" i="2"/>
  <c r="I59" i="2"/>
  <c r="I60" i="2"/>
  <c r="I64" i="2"/>
  <c r="I65" i="2"/>
  <c r="I66" i="2"/>
  <c r="I67" i="2"/>
  <c r="I68" i="2"/>
  <c r="I69" i="2"/>
  <c r="I70" i="2"/>
  <c r="I71" i="2"/>
  <c r="I72" i="2"/>
  <c r="I73" i="2"/>
  <c r="I74" i="2"/>
  <c r="I75" i="2"/>
  <c r="I79" i="2"/>
  <c r="I81" i="2"/>
  <c r="I82" i="2"/>
  <c r="H51" i="2"/>
  <c r="H48" i="2"/>
  <c r="D5" i="4"/>
  <c r="B5" i="4"/>
  <c r="P33" i="2" l="1"/>
  <c r="N63" i="2"/>
  <c r="N76" i="2" s="1"/>
  <c r="N57" i="2"/>
  <c r="N54" i="2"/>
  <c r="O54" i="2" s="1"/>
  <c r="N53" i="2"/>
  <c r="O53" i="2" s="1"/>
  <c r="P35" i="2"/>
  <c r="M57" i="2"/>
  <c r="M54" i="2"/>
  <c r="M53" i="2"/>
  <c r="K72" i="2"/>
  <c r="K70" i="2"/>
  <c r="K68" i="2"/>
  <c r="K74" i="2"/>
  <c r="K69" i="2"/>
  <c r="K73" i="2"/>
  <c r="L74" i="2"/>
  <c r="L73" i="2"/>
  <c r="D75" i="2"/>
  <c r="B75" i="1"/>
  <c r="P54" i="2" l="1"/>
  <c r="P53" i="2"/>
  <c r="P57" i="2"/>
  <c r="O57" i="2"/>
  <c r="O63" i="2"/>
  <c r="N77" i="2"/>
  <c r="O76" i="2"/>
  <c r="P76" i="2"/>
  <c r="E75" i="2"/>
  <c r="O77" i="2" l="1"/>
  <c r="B51" i="1"/>
  <c r="B53" i="1" s="1"/>
  <c r="B18" i="1" l="1"/>
  <c r="B17" i="1"/>
  <c r="F63" i="2" l="1"/>
  <c r="F76" i="2"/>
  <c r="D51" i="1"/>
  <c r="D53" i="1" s="1"/>
  <c r="D54" i="1" s="1"/>
  <c r="B44" i="1"/>
  <c r="B45" i="1" s="1"/>
  <c r="D34" i="1"/>
  <c r="B34" i="1"/>
  <c r="F42" i="2"/>
  <c r="P42" i="2" s="1"/>
  <c r="F25" i="2"/>
  <c r="P25" i="2" s="1"/>
  <c r="F62" i="2"/>
  <c r="L37" i="2" l="1"/>
  <c r="K37" i="2"/>
  <c r="M37" i="2"/>
  <c r="P37" i="2" s="1"/>
  <c r="L77" i="2"/>
  <c r="K77" i="2"/>
  <c r="M77" i="2"/>
  <c r="P77" i="2" s="1"/>
  <c r="I42" i="2"/>
  <c r="E12" i="2"/>
  <c r="B6" i="4"/>
  <c r="D12" i="2"/>
  <c r="I25" i="2"/>
  <c r="D7" i="4"/>
  <c r="D6" i="4"/>
  <c r="D13" i="2"/>
  <c r="B7" i="4"/>
  <c r="B46" i="1"/>
  <c r="B54" i="1" s="1"/>
  <c r="E15" i="2"/>
  <c r="D15" i="2"/>
  <c r="B8" i="4" l="1"/>
  <c r="C8" i="4" s="1"/>
  <c r="E70" i="2"/>
  <c r="E69" i="2"/>
  <c r="D17" i="1" l="1"/>
  <c r="D18" i="1"/>
  <c r="K16" i="2" l="1"/>
  <c r="L16" i="2"/>
  <c r="M16" i="2"/>
  <c r="P16" i="2" s="1"/>
  <c r="K15" i="2"/>
  <c r="M15" i="2"/>
  <c r="P15" i="2" s="1"/>
  <c r="L15" i="2"/>
  <c r="I8" i="2" l="1"/>
  <c r="P8" i="2"/>
  <c r="F12" i="2"/>
  <c r="F28" i="2"/>
  <c r="P28" i="2" s="1"/>
  <c r="F16" i="2"/>
  <c r="G18" i="2"/>
  <c r="G16" i="2"/>
  <c r="F15" i="2"/>
  <c r="G20" i="2"/>
  <c r="G19" i="2"/>
  <c r="G15" i="2"/>
  <c r="H15" i="2" s="1"/>
  <c r="D45" i="2"/>
  <c r="D76" i="2" s="1"/>
  <c r="D28" i="2"/>
  <c r="D20" i="2"/>
  <c r="D19" i="2"/>
  <c r="E16" i="2"/>
  <c r="E20" i="2"/>
  <c r="E19" i="2"/>
  <c r="E45" i="2"/>
  <c r="E76" i="2" s="1"/>
  <c r="E28" i="2"/>
  <c r="F19" i="2"/>
  <c r="F20" i="2"/>
  <c r="E13" i="2"/>
  <c r="D8" i="4" l="1"/>
  <c r="E8" i="4" s="1"/>
  <c r="H18" i="2"/>
  <c r="H20" i="2"/>
  <c r="H16" i="2"/>
  <c r="P12" i="2"/>
  <c r="I12" i="2"/>
  <c r="H19" i="2"/>
  <c r="I28" i="2"/>
  <c r="I19" i="2"/>
  <c r="I16" i="2"/>
  <c r="I15" i="2"/>
  <c r="I20" i="2"/>
  <c r="E66" i="2"/>
  <c r="D66" i="2"/>
  <c r="F45" i="2"/>
  <c r="G35" i="2"/>
  <c r="G34" i="2"/>
  <c r="G37" i="2"/>
  <c r="G33" i="2"/>
  <c r="D37" i="2"/>
  <c r="D33" i="2"/>
  <c r="D35" i="2"/>
  <c r="E33" i="2"/>
  <c r="E37" i="2"/>
  <c r="E35" i="2"/>
  <c r="F37" i="2"/>
  <c r="F33" i="2"/>
  <c r="F35" i="2"/>
  <c r="G63" i="2" l="1"/>
  <c r="G53" i="2"/>
  <c r="G57" i="2"/>
  <c r="G54" i="2"/>
  <c r="P45" i="2"/>
  <c r="L83" i="2"/>
  <c r="D9" i="4"/>
  <c r="E9" i="4" s="1"/>
  <c r="H37" i="2"/>
  <c r="H34" i="2"/>
  <c r="I35" i="2"/>
  <c r="H35" i="2"/>
  <c r="I33" i="2"/>
  <c r="H33" i="2"/>
  <c r="I45" i="2"/>
  <c r="I37" i="2"/>
  <c r="B15" i="4"/>
  <c r="C15" i="4" s="1"/>
  <c r="F53" i="2"/>
  <c r="F54" i="2"/>
  <c r="F57" i="2"/>
  <c r="B12" i="4" l="1"/>
  <c r="K83" i="2"/>
  <c r="M63" i="2"/>
  <c r="P63" i="2" s="1"/>
  <c r="H57" i="2"/>
  <c r="H53" i="2"/>
  <c r="H54" i="2"/>
  <c r="I57" i="2"/>
  <c r="I53" i="2"/>
  <c r="I54" i="2"/>
  <c r="G76" i="2"/>
  <c r="H63" i="2"/>
  <c r="D16" i="4" s="1"/>
  <c r="E16" i="4" s="1"/>
  <c r="I63" i="2"/>
  <c r="B16" i="4"/>
  <c r="C16" i="4" s="1"/>
  <c r="B71" i="1"/>
  <c r="B69" i="1"/>
  <c r="B70" i="1"/>
  <c r="B68" i="1"/>
  <c r="D81" i="2" l="1"/>
  <c r="G77" i="2"/>
  <c r="H76" i="2"/>
  <c r="D13" i="4" s="1"/>
  <c r="E13" i="4" s="1"/>
  <c r="I76" i="2"/>
  <c r="B13" i="4"/>
  <c r="C13" i="4" s="1"/>
  <c r="D20" i="1"/>
  <c r="K18" i="2" l="1"/>
  <c r="M18" i="2"/>
  <c r="P18" i="2" s="1"/>
  <c r="L18" i="2"/>
  <c r="H77" i="2"/>
  <c r="B20" i="1"/>
  <c r="E18" i="2" l="1"/>
  <c r="F18" i="2"/>
  <c r="D18" i="2"/>
  <c r="I18" i="2" l="1"/>
  <c r="L34" i="2" l="1"/>
  <c r="M34" i="2"/>
  <c r="P34" i="2" s="1"/>
  <c r="K34" i="2"/>
  <c r="E34" i="2"/>
  <c r="F34" i="2"/>
  <c r="D34" i="2"/>
  <c r="E57" i="2"/>
  <c r="E54" i="2"/>
  <c r="E53" i="2"/>
  <c r="D53" i="2"/>
  <c r="D57" i="2"/>
  <c r="D54" i="2"/>
  <c r="D72" i="2"/>
  <c r="I34" i="2" l="1"/>
  <c r="D11" i="4"/>
  <c r="E11" i="4" s="1"/>
  <c r="E73" i="2"/>
  <c r="D74" i="2"/>
  <c r="D73" i="2"/>
  <c r="D70" i="2"/>
  <c r="D69" i="2"/>
  <c r="D68" i="2"/>
  <c r="E74" i="2"/>
  <c r="D12" i="4" l="1"/>
  <c r="E12" i="4" s="1"/>
  <c r="B11" i="4"/>
  <c r="C11" i="4" s="1"/>
  <c r="C12" i="4"/>
  <c r="F77" i="2"/>
  <c r="D77" i="2"/>
  <c r="E77" i="2"/>
  <c r="E10" i="1"/>
  <c r="E11" i="1"/>
  <c r="E12" i="1"/>
  <c r="E13" i="1"/>
  <c r="E14" i="1"/>
  <c r="E15" i="1"/>
  <c r="E16" i="1"/>
  <c r="E9" i="1"/>
  <c r="E6" i="1"/>
  <c r="E7" i="1"/>
  <c r="E5" i="1"/>
  <c r="I77" i="2" l="1"/>
  <c r="D14" i="4"/>
  <c r="E14" i="4" s="1"/>
  <c r="B14" i="4"/>
  <c r="C14" i="4" s="1"/>
  <c r="B92" i="1"/>
  <c r="D30" i="2" s="1"/>
  <c r="B101" i="1"/>
  <c r="B127" i="1"/>
  <c r="B108" i="1"/>
  <c r="F49" i="2" l="1"/>
  <c r="E49" i="2"/>
  <c r="D51" i="2"/>
  <c r="F51" i="2"/>
  <c r="D92" i="1"/>
  <c r="K30" i="2" s="1"/>
  <c r="E31" i="2"/>
  <c r="F48" i="2"/>
  <c r="D48" i="2"/>
  <c r="E80" i="2" l="1"/>
  <c r="I49" i="2"/>
  <c r="M48" i="2"/>
  <c r="K48" i="2"/>
  <c r="L31" i="2"/>
  <c r="M51" i="2"/>
  <c r="P51" i="2" s="1"/>
  <c r="K51" i="2"/>
  <c r="L49" i="2"/>
  <c r="M49" i="2"/>
  <c r="P49" i="2" s="1"/>
  <c r="I51" i="2"/>
  <c r="B10" i="4"/>
  <c r="C10" i="4" s="1"/>
  <c r="D10" i="4"/>
  <c r="I48" i="2"/>
  <c r="K81" i="2" l="1"/>
  <c r="P48" i="2"/>
  <c r="M80" i="2"/>
  <c r="K80" i="2"/>
  <c r="L80" i="2"/>
  <c r="E10" i="4"/>
  <c r="E81" i="2"/>
  <c r="D16" i="2"/>
  <c r="D80" i="2" s="1"/>
  <c r="L81" i="2" l="1"/>
  <c r="N80" i="2" s="1"/>
  <c r="K82" i="2"/>
  <c r="K84" i="2" s="1"/>
  <c r="B9" i="4"/>
  <c r="D82" i="2"/>
  <c r="D84" i="2" s="1"/>
  <c r="E82" i="2"/>
  <c r="G80" i="2"/>
  <c r="L82" i="2" l="1"/>
  <c r="L84" i="2" s="1"/>
  <c r="I80" i="2"/>
  <c r="P80" i="2"/>
  <c r="C9" i="4"/>
  <c r="C17" i="4" s="1"/>
  <c r="B17" i="4"/>
  <c r="E84" i="2"/>
  <c r="D15" i="4" l="1"/>
  <c r="E15" i="4" l="1"/>
  <c r="E17" i="4" s="1"/>
  <c r="D1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Societe</author>
  </authors>
  <commentList>
    <comment ref="A44" authorId="0" shapeId="0" xr:uid="{00000000-0006-0000-0200-000001000000}">
      <text>
        <r>
          <rPr>
            <b/>
            <sz val="9"/>
            <color indexed="81"/>
            <rFont val="Tahoma"/>
            <family val="2"/>
          </rPr>
          <t>Societe:</t>
        </r>
        <r>
          <rPr>
            <sz val="9"/>
            <color indexed="81"/>
            <rFont val="Tahoma"/>
            <family val="2"/>
          </rPr>
          <t xml:space="preserve">
cacher</t>
        </r>
      </text>
    </comment>
    <comment ref="A128" authorId="0" shapeId="0" xr:uid="{00000000-0006-0000-0200-000002000000}">
      <text>
        <r>
          <rPr>
            <b/>
            <sz val="9"/>
            <color indexed="81"/>
            <rFont val="Tahoma"/>
            <family val="2"/>
          </rPr>
          <t>Societe:</t>
        </r>
        <r>
          <rPr>
            <sz val="9"/>
            <color indexed="81"/>
            <rFont val="Tahoma"/>
            <family val="2"/>
          </rPr>
          <t xml:space="preserve">
voir pour cacher</t>
        </r>
      </text>
    </comment>
  </commentList>
</comments>
</file>

<file path=xl/sharedStrings.xml><?xml version="1.0" encoding="utf-8"?>
<sst xmlns="http://schemas.openxmlformats.org/spreadsheetml/2006/main" count="752" uniqueCount="304">
  <si>
    <t xml:space="preserve">Étapes </t>
  </si>
  <si>
    <t>Troupeaux de 100 brebis pur sang</t>
  </si>
  <si>
    <t>Agneaux</t>
  </si>
  <si>
    <t>Agnelles</t>
  </si>
  <si>
    <t>Colonne2</t>
  </si>
  <si>
    <t>Colonne3</t>
  </si>
  <si>
    <t>$</t>
  </si>
  <si>
    <t xml:space="preserve">Vente des animaux </t>
  </si>
  <si>
    <t>(=) Coût d'élevage par sujet sélectionné</t>
  </si>
  <si>
    <t>Espace supplémentaire en bâtiment</t>
  </si>
  <si>
    <t>$/mètre carré</t>
  </si>
  <si>
    <t>$/heure</t>
  </si>
  <si>
    <t>têtes</t>
  </si>
  <si>
    <t>$/agneau</t>
  </si>
  <si>
    <t>$/kg</t>
  </si>
  <si>
    <t>kg/jour</t>
  </si>
  <si>
    <t>Minéraux</t>
  </si>
  <si>
    <t>Temps supplémentaire</t>
  </si>
  <si>
    <t>Société des éleveurs de moutons de race pure du Québec</t>
  </si>
  <si>
    <t>Votre calcul</t>
  </si>
  <si>
    <t>%</t>
  </si>
  <si>
    <t>agneaux</t>
  </si>
  <si>
    <t>jours</t>
  </si>
  <si>
    <t>$/Kg</t>
  </si>
  <si>
    <t>$/tête</t>
  </si>
  <si>
    <t xml:space="preserve">Société des éleveurs de moutons de race pure du Québec </t>
  </si>
  <si>
    <t>Unités</t>
  </si>
  <si>
    <t>Données considérées</t>
  </si>
  <si>
    <t>Sources</t>
  </si>
  <si>
    <t>Nombre</t>
  </si>
  <si>
    <t>Type</t>
  </si>
  <si>
    <t>VOS DONNÉES</t>
  </si>
  <si>
    <t>Description des données requises</t>
  </si>
  <si>
    <t xml:space="preserve">Taille du troupeau </t>
  </si>
  <si>
    <t>brebis</t>
  </si>
  <si>
    <t>mètre carrés</t>
  </si>
  <si>
    <t>Taux de sélection des animaux</t>
  </si>
  <si>
    <t>Alimentation des agneaux</t>
  </si>
  <si>
    <t>Compensation nette ASRA</t>
  </si>
  <si>
    <t>Compensation ASRA</t>
  </si>
  <si>
    <t>Cotisation ASRA</t>
  </si>
  <si>
    <t>Montant net par agneau</t>
  </si>
  <si>
    <t>Alimentation des agnelles</t>
  </si>
  <si>
    <t>Frais administratifs</t>
  </si>
  <si>
    <t>Calcul</t>
  </si>
  <si>
    <t>Nombre d'agneaux sevrés par brebis par année</t>
  </si>
  <si>
    <t>Coût d'achat d'une femelle de race pure</t>
  </si>
  <si>
    <t>Coût d'achat d'un bélier de race pure</t>
  </si>
  <si>
    <t>Coût d'achat d'un bélier en situation commerciale</t>
  </si>
  <si>
    <t>Âge de réforme d'une brebis de race pure</t>
  </si>
  <si>
    <t>Âge de réforme d'un bélier de race pure</t>
  </si>
  <si>
    <t>Âge de réforme d'une brebis en situation commerciale</t>
  </si>
  <si>
    <t>Âge de réforme d'un bélier en situation commerciale</t>
  </si>
  <si>
    <t>Coût d'achat d'une brebis en situation commerciale</t>
  </si>
  <si>
    <t>CEPOQ - Performances annuelles du programme GenOvis par race pour les agneaux nés en 2016</t>
  </si>
  <si>
    <t>Société des éleveurs de moutons de race pure du Québec - Moyenne des 3 dernières années (Vente SEMRPQ et Vente Classique)</t>
  </si>
  <si>
    <t>Enquête des entreprises dans le cadre de l'Étude sur le coût de production des sujets reproducteurs (SEMRPQ, 2015)</t>
  </si>
  <si>
    <t>CRAAQ - Budget ovin, mars 2014</t>
  </si>
  <si>
    <t>CRAAQ - Coût de construction d'une bergerie clé en main, 2015</t>
  </si>
  <si>
    <t>CRAAQ - Loyer annuel, 2015</t>
  </si>
  <si>
    <t>Coût d'élevage et de sélection des reproducteurs de génétique supérieure en production ovine - CRAAQ, avril 2005</t>
  </si>
  <si>
    <t>ans</t>
  </si>
  <si>
    <t>Coût supplémentaire par agneau pour la génétique de la brebis</t>
  </si>
  <si>
    <t>Coût supplémentaire par agneau pour la génétique du bélier</t>
  </si>
  <si>
    <t>% de la superficie totale en bâtiment non isolé</t>
  </si>
  <si>
    <t>% de la superficie totale en bâtiment isolé</t>
  </si>
  <si>
    <t>Coût de construction par mètre carré en bâtiment isolé</t>
  </si>
  <si>
    <t>Coût de construction par mètre carré en bâtiment non isolé</t>
  </si>
  <si>
    <t>Coût moyen de construction par mètre carré</t>
  </si>
  <si>
    <t>Calcul du DIRTA (Dépréciation/Intérêts/Réparations/Taxes/Assurances)</t>
  </si>
  <si>
    <t>Coût de construction tenant compte de la proportion «isolé/non-isolé»</t>
  </si>
  <si>
    <t>Amortisement avec espace supplémentaire et DIRTA</t>
  </si>
  <si>
    <t>Planification de l'accouplement avec GenOvis pour la mise à la saillie</t>
  </si>
  <si>
    <t>Génotypage</t>
  </si>
  <si>
    <t>Montant net par kilogramme</t>
  </si>
  <si>
    <t>Céréales</t>
  </si>
  <si>
    <t>Suppléments</t>
  </si>
  <si>
    <t>Nombre de jours</t>
  </si>
  <si>
    <t>Coût total calculé de la ration d'un agneau pour la période</t>
  </si>
  <si>
    <t>Coût total calculé de la ration d'une agnelle pour la période</t>
  </si>
  <si>
    <t>$/agnelle</t>
  </si>
  <si>
    <t xml:space="preserve">$/kg </t>
  </si>
  <si>
    <t>Enregistrement</t>
  </si>
  <si>
    <t>Transfert d'enregistrement</t>
  </si>
  <si>
    <t>Classification officielle</t>
  </si>
  <si>
    <t>Fourrages, en Tel que servi</t>
  </si>
  <si>
    <t>Avoine</t>
  </si>
  <si>
    <t>Orge</t>
  </si>
  <si>
    <t>Maïs-grain sec</t>
  </si>
  <si>
    <r>
      <t>Étape 2 - Vers la 2</t>
    </r>
    <r>
      <rPr>
        <b/>
        <vertAlign val="superscript"/>
        <sz val="14"/>
        <color theme="0"/>
        <rFont val="Calibri"/>
        <family val="2"/>
        <scheme val="minor"/>
      </rPr>
      <t>e</t>
    </r>
    <r>
      <rPr>
        <b/>
        <sz val="14"/>
        <color theme="0"/>
        <rFont val="Calibri"/>
        <family val="2"/>
        <scheme val="minor"/>
      </rPr>
      <t xml:space="preserve"> sélection</t>
    </r>
  </si>
  <si>
    <r>
      <t>Étape 3 - Vers la 3</t>
    </r>
    <r>
      <rPr>
        <b/>
        <vertAlign val="superscript"/>
        <sz val="14"/>
        <color theme="0"/>
        <rFont val="Calibri"/>
        <family val="2"/>
        <scheme val="minor"/>
      </rPr>
      <t>e</t>
    </r>
    <r>
      <rPr>
        <b/>
        <sz val="14"/>
        <color theme="0"/>
        <rFont val="Calibri"/>
        <family val="2"/>
        <scheme val="minor"/>
      </rPr>
      <t xml:space="preserve"> sélection</t>
    </r>
  </si>
  <si>
    <t>Étape 4 - Vers la vente des sujets reproducteurs sélectionnés</t>
  </si>
  <si>
    <r>
      <t>Étape 1 - Production de départ et 1</t>
    </r>
    <r>
      <rPr>
        <b/>
        <vertAlign val="superscript"/>
        <sz val="14"/>
        <color theme="0"/>
        <rFont val="Calibri"/>
        <family val="2"/>
        <scheme val="minor"/>
      </rPr>
      <t>ère</t>
    </r>
    <r>
      <rPr>
        <b/>
        <sz val="14"/>
        <color theme="0"/>
        <rFont val="Calibri"/>
        <family val="2"/>
        <scheme val="minor"/>
      </rPr>
      <t xml:space="preserve"> sélection</t>
    </r>
  </si>
  <si>
    <t>1.1</t>
  </si>
  <si>
    <t>1.2</t>
  </si>
  <si>
    <t>1.3</t>
  </si>
  <si>
    <t>2.1</t>
  </si>
  <si>
    <t>2.2</t>
  </si>
  <si>
    <t>3.1</t>
  </si>
  <si>
    <t>3.2</t>
  </si>
  <si>
    <t>3.3</t>
  </si>
  <si>
    <t xml:space="preserve">$/tête  </t>
  </si>
  <si>
    <t>minutes/agneau</t>
  </si>
  <si>
    <t>Communication Raymond Deshaies/Israël Michaud, techniciens du CDPQ, 27 octobre 2017</t>
  </si>
  <si>
    <t xml:space="preserve">Estimé à partir des Tarifs 2017 - Centre d'expertise en production ovine du Québec - </t>
  </si>
  <si>
    <t>Flexible</t>
  </si>
  <si>
    <t>Fixe</t>
  </si>
  <si>
    <t>Compléter Céréales/Suppléments/Minéraux  OU  Moulée complète</t>
  </si>
  <si>
    <t>OU... Moulée complète</t>
  </si>
  <si>
    <t>OU… Moulée complète</t>
  </si>
  <si>
    <t>2.3</t>
  </si>
  <si>
    <t>3.4</t>
  </si>
  <si>
    <t>4.1</t>
  </si>
  <si>
    <t>4.2</t>
  </si>
  <si>
    <t>Frais d'alimentation de 8 à 12 mois</t>
  </si>
  <si>
    <t xml:space="preserve">Coût supplémentaire pour les brebis </t>
  </si>
  <si>
    <t>Coût supplémentaire pour les béliers</t>
  </si>
  <si>
    <t xml:space="preserve">Pesée à 50 jours </t>
  </si>
  <si>
    <t>Têtes</t>
  </si>
  <si>
    <t>Pesée à 100 jours</t>
  </si>
  <si>
    <r>
      <t>1</t>
    </r>
    <r>
      <rPr>
        <vertAlign val="superscript"/>
        <sz val="11"/>
        <rFont val="Calibri"/>
        <family val="2"/>
        <scheme val="minor"/>
      </rPr>
      <t>ère</t>
    </r>
    <r>
      <rPr>
        <sz val="11"/>
        <rFont val="Calibri"/>
        <family val="2"/>
        <scheme val="minor"/>
      </rPr>
      <t xml:space="preserve"> sélection</t>
    </r>
  </si>
  <si>
    <r>
      <t>2</t>
    </r>
    <r>
      <rPr>
        <vertAlign val="superscript"/>
        <sz val="11"/>
        <rFont val="Calibri"/>
        <family val="2"/>
        <scheme val="minor"/>
      </rPr>
      <t>e</t>
    </r>
    <r>
      <rPr>
        <sz val="11"/>
        <rFont val="Calibri"/>
        <family val="2"/>
        <scheme val="minor"/>
      </rPr>
      <t xml:space="preserve"> sélection</t>
    </r>
  </si>
  <si>
    <t xml:space="preserve">Taille des onglons et tonte </t>
  </si>
  <si>
    <t>Pesée à 50 jours</t>
  </si>
  <si>
    <r>
      <t>1</t>
    </r>
    <r>
      <rPr>
        <vertAlign val="superscript"/>
        <sz val="11"/>
        <color theme="1"/>
        <rFont val="Calibri"/>
        <family val="2"/>
        <scheme val="minor"/>
      </rPr>
      <t>ère</t>
    </r>
    <r>
      <rPr>
        <sz val="11"/>
        <color theme="1"/>
        <rFont val="Calibri"/>
        <family val="2"/>
        <scheme val="minor"/>
      </rPr>
      <t xml:space="preserve"> sélection</t>
    </r>
  </si>
  <si>
    <r>
      <t>2</t>
    </r>
    <r>
      <rPr>
        <vertAlign val="superscript"/>
        <sz val="11"/>
        <color theme="1"/>
        <rFont val="Calibri"/>
        <family val="2"/>
        <scheme val="minor"/>
      </rPr>
      <t>e</t>
    </r>
    <r>
      <rPr>
        <sz val="11"/>
        <color theme="1"/>
        <rFont val="Calibri"/>
        <family val="2"/>
        <scheme val="minor"/>
      </rPr>
      <t xml:space="preserve"> sélection</t>
    </r>
  </si>
  <si>
    <t>Enregistrement, ATQ et déclarations</t>
  </si>
  <si>
    <t>Mesures aux ultrasons</t>
  </si>
  <si>
    <t>Vente des animaux</t>
  </si>
  <si>
    <t>Mesures aux ultrasons, au tarif avantageux</t>
  </si>
  <si>
    <t>Description</t>
  </si>
  <si>
    <t>Investissement supplémentaire en race pure</t>
  </si>
  <si>
    <t>agnelles</t>
  </si>
  <si>
    <t>% agneaux</t>
  </si>
  <si>
    <t>% agnelles</t>
  </si>
  <si>
    <t>Inscrire le prix d'UNE SEULE céréale ci-bas, soit la principale utilisée.</t>
  </si>
  <si>
    <t>Vente de sujets en agneaux lourds</t>
  </si>
  <si>
    <t>Agnelles4</t>
  </si>
  <si>
    <t>1ère sélection: nombre d'agneaux vendus en lait ou légers</t>
  </si>
  <si>
    <t>1ère sélection: nombre d'agnelles vendues en lait ou légers</t>
  </si>
  <si>
    <t>2e sélection: nombre d'agneaux vendus en agneaux lourds</t>
  </si>
  <si>
    <t>2e sélection: nombre d'agnelles vendues en agneaux lourds</t>
  </si>
  <si>
    <t>3e sélection: nombre d'agneaux vendus en réformes</t>
  </si>
  <si>
    <t>3e sélection: nombre d'agnelles vendues en réformes</t>
  </si>
  <si>
    <t>Prix des fourrages et des grains</t>
  </si>
  <si>
    <t>Colonne4</t>
  </si>
  <si>
    <t xml:space="preserve">Taux horaire ajusté au revenu stabilisé </t>
  </si>
  <si>
    <t>-</t>
  </si>
  <si>
    <t>Pourcentage estimé d'espace supplémentaire en race pure par rapport à une situation commerciale (peut être 0).</t>
  </si>
  <si>
    <t>Classification officielle sur la conformation des agneaux (mâles)</t>
  </si>
  <si>
    <t xml:space="preserve">CECPA - Coût de production ovin 2016 </t>
  </si>
  <si>
    <t>CECPA - Coût de production ovin 2016</t>
  </si>
  <si>
    <t>Vente avec le client, publicité, développement des relations d'affaire (par agneau; par groupe d'agnelles restantes vendues)</t>
  </si>
  <si>
    <t>Mesures aux ultrasons (temps moyen par agneau)</t>
  </si>
  <si>
    <t>Classification officielle sur la conformation pour les agneaux seulement</t>
  </si>
  <si>
    <t>Vente avec le client, publicité, développement des relations d'affaire  (par mâle; par groupe de femelles)</t>
  </si>
  <si>
    <t>Coût de production ajusté d'un agneau de lait (75 jours; 23,8 kg)</t>
  </si>
  <si>
    <t>CECPA - Coût de production ovin 2016 ajusté selon les modalités du calcul du  revenu stabilisé</t>
  </si>
  <si>
    <t>Agnelles5</t>
  </si>
  <si>
    <t>Agnelles32</t>
  </si>
  <si>
    <t>Frais d'alimentation de 75 jours à 122 jours</t>
  </si>
  <si>
    <t>Agneaux: 75 jours à 122 jours</t>
  </si>
  <si>
    <t>Agnelles: 75 jours à 122 jours</t>
  </si>
  <si>
    <t>2e sélection :  Agneaux légers et lourds</t>
  </si>
  <si>
    <t>2.4</t>
  </si>
  <si>
    <t>Frais d'alimentation de 4 à 8 mois</t>
  </si>
  <si>
    <t>Agneaux: 4 mois à 8 mois</t>
  </si>
  <si>
    <t>Agnelles: 4 mois à 8 mois</t>
  </si>
  <si>
    <t xml:space="preserve">Agneaux: 8 à 12 mois </t>
  </si>
  <si>
    <t>% mâles</t>
  </si>
  <si>
    <t>4 à 8 mois</t>
  </si>
  <si>
    <t xml:space="preserve">3 à 4 mois </t>
  </si>
  <si>
    <t xml:space="preserve">8 à 12 mois </t>
  </si>
  <si>
    <t xml:space="preserve">4 à 8 mois </t>
  </si>
  <si>
    <t>Moulée Complète</t>
  </si>
  <si>
    <t>Superficie moyenne par brebis (incluant autres animaux)</t>
  </si>
  <si>
    <t>Superficie moyenne par brebis (incluant autres animaux) race pure</t>
  </si>
  <si>
    <t>$/brebis</t>
  </si>
  <si>
    <t>Écart entre commerciale et race pure par brebis</t>
  </si>
  <si>
    <t xml:space="preserve">Compensation ASRA nette </t>
  </si>
  <si>
    <t>Adaptée de CRAAQ - L'élevage du mouton, 2010</t>
  </si>
  <si>
    <t>$/année</t>
  </si>
  <si>
    <t>Montant net pour 1 agnelle de 40 kg (norme FADQ)</t>
  </si>
  <si>
    <t>Perte de revenus pour commercialisation de sujets non-admissibles à l'ASRA</t>
  </si>
  <si>
    <t>Marketing (publicité, catalogue, frais d'encan, …)</t>
  </si>
  <si>
    <t>Frais spécifiques engagés pour les autres agneaux qui ne sont pas vendus comme reproducteurs</t>
  </si>
  <si>
    <t>Fourrages à 85%  matière sèche</t>
  </si>
  <si>
    <t>% de matière sèche des fourrages de l'entreprise</t>
  </si>
  <si>
    <t>conserver et masquer</t>
  </si>
  <si>
    <t>Estimation basée sur des observations dans l'étude du CECPA 2016</t>
  </si>
  <si>
    <t>Génétique</t>
  </si>
  <si>
    <t>Alimentation</t>
  </si>
  <si>
    <t>Temps de travail</t>
  </si>
  <si>
    <t>Frais spécifiques</t>
  </si>
  <si>
    <t>Nombre de sujets reproducteurs à vendre</t>
  </si>
  <si>
    <t>% de sélection</t>
  </si>
  <si>
    <t>Nombre d'agneaux avant sélection</t>
  </si>
  <si>
    <t>Ajustements des frais fixes</t>
  </si>
  <si>
    <t>Compensation du programme ASRA</t>
  </si>
  <si>
    <t>% femelle</t>
  </si>
  <si>
    <t>Jeunes béliers vendus</t>
  </si>
  <si>
    <t>Agnelles reproductrices vendues</t>
  </si>
  <si>
    <t>((Ligne 10 / Ligne 14) - (Ligne 12 / Ligne 16)) / (Ligne 6 x 20 brebis)</t>
  </si>
  <si>
    <t>(Ligne 26 x Ligne 24 (%))+(Ligne 27 x Ligne 25 (%))</t>
  </si>
  <si>
    <t>Ligne 22 - Ligne 21</t>
  </si>
  <si>
    <t>(Ligne 28 x Ligne 29) / 100</t>
  </si>
  <si>
    <t>Taux de sélection total</t>
  </si>
  <si>
    <t>Coût de production ajusté au stade Agneau de lait (75 jours; 23,8 kg)</t>
  </si>
  <si>
    <t>Modèle de Référence</t>
  </si>
  <si>
    <t>((Ligne 9 / Ligne 13) - (Ligne 11 / Ligne 15)) / Ligne 6</t>
  </si>
  <si>
    <t>Fourrages - Tel que servi</t>
  </si>
  <si>
    <t>1.4</t>
  </si>
  <si>
    <t>Nombre de sujets gardés pendant cette étape</t>
  </si>
  <si>
    <t>Vente de sujets en agneaux de lait</t>
  </si>
  <si>
    <t>3e sélection : Réformes</t>
  </si>
  <si>
    <t xml:space="preserve">1ère sélection : Agneaux lait </t>
  </si>
  <si>
    <t>Vente de sujets à la réforme</t>
  </si>
  <si>
    <t>$/jour</t>
  </si>
  <si>
    <t>Ajustements des frais fixes non considérés</t>
  </si>
  <si>
    <t>4.3</t>
  </si>
  <si>
    <t>3.5</t>
  </si>
  <si>
    <t>La Financière agricole du Québec, 2016</t>
  </si>
  <si>
    <t>Montant net pour 1 jeune bélier de 48,2 kg (norme FADQ)</t>
  </si>
  <si>
    <t>Montant de cotisation que l'entreprise doit pour une agnelle</t>
  </si>
  <si>
    <t>Montant de cotisation que l'entreprise doit pour un jeune bélier</t>
  </si>
  <si>
    <t>Frais de marketing (publicité, catalogue, frais d'encan, etc.)</t>
  </si>
  <si>
    <t>(=) Total des coûts nets (Coûts - Ventes)</t>
  </si>
  <si>
    <t>Coût supplémentaire de remplacement</t>
  </si>
  <si>
    <t>Jeunes béliers</t>
  </si>
  <si>
    <t>Total à 12 mois</t>
  </si>
  <si>
    <t>Total à 8 mois</t>
  </si>
  <si>
    <t>$ / bélier</t>
  </si>
  <si>
    <t>$ / agnelle</t>
  </si>
  <si>
    <t>Coût de production ajusté - Agneau lait à 23,8 kg</t>
  </si>
  <si>
    <t>Espace en bâtiment supplémentaire</t>
  </si>
  <si>
    <t>Pertes de compensation ASRA pour sujets vendus trop vieux</t>
  </si>
  <si>
    <t>agneaux sevrés/brebis/an</t>
  </si>
  <si>
    <t>Compléter en nombre de têtes OU en pourcentage.</t>
  </si>
  <si>
    <t>1.</t>
  </si>
  <si>
    <t>Comment entrer vos données</t>
  </si>
  <si>
    <t>Comment réviser les calculs produits</t>
  </si>
  <si>
    <t>Comment interpréter les résultats</t>
  </si>
  <si>
    <t>2.</t>
  </si>
  <si>
    <t>Les calculs</t>
  </si>
  <si>
    <t>3.</t>
  </si>
  <si>
    <t>4.</t>
  </si>
  <si>
    <t>5.</t>
  </si>
  <si>
    <t xml:space="preserve">La colonne « Total à 12 mois » sous les Jeunes béliers regroupe la totalité des frais engagés pour le groupe de béliers vendus pour la reproduction à 12 mois d'âge. Puis la colone « $ / bélier » ramène ces frais par bélier. </t>
  </si>
  <si>
    <t xml:space="preserve">La colonne « Total à 8 mois » sous les Agnelles regroupe la totalité des frais engagés pour le groupe d'agnelles vendues pour la reproduction à 8 mois d'âge. Puis la colone « $ / agnelle » ramène ces frais par agnelle. </t>
  </si>
  <si>
    <t>6.</t>
  </si>
  <si>
    <t>7.</t>
  </si>
  <si>
    <r>
      <rPr>
        <b/>
        <sz val="11"/>
        <color theme="1"/>
        <rFont val="Calibri"/>
        <family val="2"/>
        <scheme val="minor"/>
      </rPr>
      <t>L'onglet « Sommaire des résultats »</t>
    </r>
    <r>
      <rPr>
        <sz val="11"/>
        <color theme="1"/>
        <rFont val="Calibri"/>
        <family val="2"/>
        <scheme val="minor"/>
      </rPr>
      <t xml:space="preserve"> résume la répartition des coûts par type de dépenses.</t>
    </r>
  </si>
  <si>
    <r>
      <rPr>
        <b/>
        <sz val="11"/>
        <color theme="1"/>
        <rFont val="Calibri"/>
        <family val="2"/>
        <scheme val="minor"/>
      </rPr>
      <t>Dans</t>
    </r>
    <r>
      <rPr>
        <sz val="11"/>
        <color theme="1"/>
        <rFont val="Calibri"/>
        <family val="2"/>
        <scheme val="minor"/>
      </rPr>
      <t xml:space="preserve"> </t>
    </r>
    <r>
      <rPr>
        <b/>
        <sz val="11"/>
        <color theme="1"/>
        <rFont val="Calibri"/>
        <family val="2"/>
        <scheme val="minor"/>
      </rPr>
      <t>l'onglet « DONNÉES À ENTRER»</t>
    </r>
    <r>
      <rPr>
        <sz val="11"/>
        <color theme="1"/>
        <rFont val="Calibri"/>
        <family val="2"/>
        <scheme val="minor"/>
      </rPr>
      <t>, vous pouvez modifier les données inscrites dans les cases vertes ou laisser les données issues du modèle de référence. Toutes les cases blanches sont verrouillées et leur contenu ne peut être modifié.</t>
    </r>
  </si>
  <si>
    <r>
      <t xml:space="preserve">Les sections à compléter nommées « Taux de sélection des animaux », «Prix des fourrages et des grains » et « Alimentation des agneaux » vous donnent un choix quant aux cellules à compléter. Il est important de faire un choix conformément à la consigne qui s'y trouve. Toutes les données d'une même série (ex: taux de sélection) doivent être entrées dans le même format (ex: vos taux de sélection peuvent être entrés en nombre de têtes </t>
    </r>
    <r>
      <rPr>
        <u/>
        <sz val="11"/>
        <color theme="1"/>
        <rFont val="Calibri"/>
        <family val="2"/>
        <scheme val="minor"/>
      </rPr>
      <t>OU</t>
    </r>
    <r>
      <rPr>
        <sz val="11"/>
        <color theme="1"/>
        <rFont val="Calibri"/>
        <family val="2"/>
        <scheme val="minor"/>
      </rPr>
      <t xml:space="preserve"> en %. Il faut entrer l'un ou l'autre, pas les deux.)</t>
    </r>
  </si>
  <si>
    <t>Ligne 71 x ( Ligne 72 / 85)</t>
  </si>
  <si>
    <t>Ligne 51 x Ligne 44</t>
  </si>
  <si>
    <t>((Ligne 83 x Ligne 73) + (Ligne 85 x ((Ligne 75 + Ligne 76 + Ligne 77) / (Si Ligne 75 à Ligne 77 ne sont pas vides, donc = (Ligne 86 x Ligne 78) + (Ligne 87 x Ligne 79) + (Ligne 88 x Ligne 80)) x Ligne 89</t>
  </si>
  <si>
    <t>((Ligne 101 x Ligne 73) + (Ligne 102 x ((Ligne 75 + Ligne 76 + Ligne 77) / (Si Ligne 75 à Ligne 77 ne sont pas vides, donc = (Ligne 103 x Ligne 78) + (Ligne 104 x Ligne 79)  x Ligne 105</t>
  </si>
  <si>
    <t>((Ligne 92 x Ligne 73) + (Ligne 94 x ((Ligne 75 + Ligne 76 + Ligne 77) / (Si Ligne 75 à Ligne 77 ne sont pas vides, donc = (Ligne 95 x Ligne 78) + (Ligne 96 x Ligne 79) + (Ligne 97 x Ligne 80)) x Ligne 98</t>
  </si>
  <si>
    <t>((Ligne 109 x Ligne 73) + (Ligne 111 x ((Ligne 75 + Ligne 76 + Ligne 77) / (Si Ligne 75 à Ligne 77 ne sont pas vides, donc = (Ligne 112 x Ligne 78) + (Ligne 113 x Ligne 79)  + (Ligne 114 x Ligne 80) x Ligne 115</t>
  </si>
  <si>
    <t>((Ligne 118 x Ligne 73) + (Ligne 120 x ((Ligne 75 + Ligne 76 + Ligne 77) / (Si Ligne 75 à Ligne 77 ne sont pas vides, donc = (Ligne 121 x Ligne 78) + (Ligne 122 x Ligne 79)  + (Ligne 123 x Ligne 80) x Ligne 124</t>
  </si>
  <si>
    <t>Bien que les cases blanches ne puissent être modifiées, vous pouvez cliquer dessus avec votre curseur pour les sélectionner et voir la formule de calcul le cas échéant.</t>
  </si>
  <si>
    <t>8.</t>
  </si>
  <si>
    <t>Répartition des Frais engagés pour les agneaux vendus à la viande, mais spécifiques à la production de reproducteurs, en fonction des frais spécifiques par sexe et au prorata du nombre de têtes vendues à la viande par sexe pour les frais communs aux deux sexes</t>
  </si>
  <si>
    <t>9.</t>
  </si>
  <si>
    <t>La qualité du calcul repose sur la qualité des données que vous entrez. En cas de doute sur l'exactitude de votre donnée, il est préférable d'utiliser la donnée du modèle de référence. Vous pouvez également demander l'aide de votre conseiller technique ou de gestion, le cas échéant, pour valider vos données.</t>
  </si>
  <si>
    <t>Des questions sur le fonctionnement de cet outils?</t>
  </si>
  <si>
    <r>
      <t xml:space="preserve">Si, après avoir travaillé avec cet outil et suivi les consignes ci-haut vous avez encore des questions sur le fonctionnement du fichier de calculs, vous pouvez communiquer avec la SEMRPQ par téléphone au 418-359-3832 ou par courriel à </t>
    </r>
    <r>
      <rPr>
        <u/>
        <sz val="11"/>
        <color rgb="FF0070C0"/>
        <rFont val="Calibri"/>
        <family val="2"/>
        <scheme val="minor"/>
      </rPr>
      <t>semrpq@cepoq.com</t>
    </r>
    <r>
      <rPr>
        <sz val="11"/>
        <color theme="1"/>
        <rFont val="Calibri"/>
        <family val="2"/>
        <scheme val="minor"/>
      </rPr>
      <t xml:space="preserve">. </t>
    </r>
  </si>
  <si>
    <t>La colonne « Frais spécifiques engagés pour les autres agneaux qui ne sont pas vendus comme reproducteurs » calcule tous les frais d'élevage des animaux non vendus comme reproducteurs qui doivent être récupérés via le prix de vente des reproducteurs vendus. Ceux-ci sont ajoutés à la ligne 80 du calcul. La répartition des Frais engagés pour les agneaux vendus à la viande, mais spécifiques à la production de reproducteurs, est faite en fonction des frais spécifiques par sexe et au prorata du nombre de têtes vendues à la viande par sexe pour les frais communs aux deux sexes.</t>
  </si>
  <si>
    <t>Consignes pour obtenir une estimation du prix moyen de vente des sujets reproducteurs produits en race PROLIFIQUE</t>
  </si>
  <si>
    <r>
      <rPr>
        <b/>
        <sz val="11"/>
        <color theme="1"/>
        <rFont val="Calibri"/>
        <family val="2"/>
        <scheme val="minor"/>
      </rPr>
      <t>Dans l'onglet « Grille de calculs - PROLIFIQUE »</t>
    </r>
    <r>
      <rPr>
        <sz val="11"/>
        <color theme="1"/>
        <rFont val="Calibri"/>
        <family val="2"/>
        <scheme val="minor"/>
      </rPr>
      <t>, les colonnes vertes réfèrent à vos données entrées dans l'onglet « Données à entrer ». Il s'agit donc des calculs propres à votre situation. Les colonnes bleues réfèrent aux données du modèle de référence.</t>
    </r>
  </si>
  <si>
    <t>Références - Modèle pour une race PROLIFIQUE</t>
  </si>
  <si>
    <t>Calcul du coût d'élevage des sujets reproducteurs de race PROLIFIQUE - Référence 2016</t>
  </si>
  <si>
    <t>Final : taux de sélection des agneaux, en pourcentage</t>
  </si>
  <si>
    <t>Final : taux de sélection des agneaux, en nombre de têtes</t>
  </si>
  <si>
    <t>Final : taux de sélection des agnelles, en pourcentage</t>
  </si>
  <si>
    <t>Final : taux de sélection des agnelles, en nombre de têtes</t>
  </si>
  <si>
    <t>Vous vous apprêtez à travailler avec le fichier de calcul pour une race dite «PROLIFIQUE». Assurez-vous qu'il s'agit bien du modèle qui correspond à la race que vous élevez. Le résultat du calcul donne un prix MOYEN et ne tient pas compte de facteurs d'ajustement tels que la qualité génétique spécifique d'un individu (ex: élite génétique ou génotypage désirable), du statut sanitaire (ex: troupeau OR pour le Maedi visna) et de la situation du marché (ex: rareté des sujets).</t>
  </si>
  <si>
    <t>Estimation du coût de production moyen d'un sujet</t>
  </si>
  <si>
    <t>Estimation du coûts de production moyen</t>
  </si>
  <si>
    <t>Outil d'estimation du coût de production</t>
  </si>
  <si>
    <t>des sujets reproducteurs</t>
  </si>
  <si>
    <t>Cet outil a été créé dans le cadre du projet intitulé « Augmenter la maitrise par les éleveurs de leurs coûts de production des sujets reproducteurs grâce à un outil simple de calcul comparatif avec des données de référence reconnues ».</t>
  </si>
  <si>
    <t>Grâce au soutien financier de:</t>
  </si>
  <si>
    <t xml:space="preserve"> - RACES PROLIFIQUES -</t>
  </si>
  <si>
    <t>Collaborateurs:</t>
  </si>
  <si>
    <t>Services-conseils                                           Jean Lecours</t>
  </si>
  <si>
    <r>
      <t xml:space="preserve">Copyright © 2018   </t>
    </r>
    <r>
      <rPr>
        <sz val="10"/>
        <color theme="1"/>
        <rFont val="Arial"/>
        <family val="2"/>
      </rPr>
      <t>|</t>
    </r>
    <r>
      <rPr>
        <sz val="10"/>
        <color theme="1"/>
        <rFont val="Calibri"/>
        <family val="2"/>
      </rPr>
      <t xml:space="preserve">   SEMRPQ</t>
    </r>
  </si>
  <si>
    <t>Sommaire de la composition de votre coût moyen par sujet reproducteur                                                                                  de race PROLIFIQUE</t>
  </si>
  <si>
    <t>Société Canadienne des éleveurs de moutons et Société Canadienne d'enregistrement des animaux</t>
  </si>
  <si>
    <t>Société des éleveurs de moutons de race pure du Québec (Projet 16-4-23)</t>
  </si>
  <si>
    <t>Informations complémentaires</t>
  </si>
  <si>
    <t>En élevage de race pure, l'éleveur doit investir un montant supplémentaire pour l'élevage et l'achat de ses sujets reproducteurs améliorateurs. Ce montant doit être amorti sur la durée de vie productive de l'animal et de sa progéniture.  Pour une amélioration génétique optimale, les éleveurs de race pure ont avantage à utiliser de jeunes béliers lors de leurs saillies ainsi que des femelles d’élevage relativement jeunes. Pour les brebis: Les femelles de race pure ont un taux de remplacement de 28 % supérieur aux femelles en situation commerciale, soit un investissement supplémentaire qui doit être amorti sur la progéniture. Pour les béliers: Les éleveurs de sujets de race pure utilisent des béliers ayant des indices génétiques supérieurs aux éleveurs commerciaux. De plus, le taux de remplacement des béliers est deux fois plus élevé que celui des béliers en situation commerciale.</t>
  </si>
  <si>
    <t>Les étapes supplémentaires requises pour élever des animaux de race pure entrainent du temps de travail additionnel à celui tâches requises en production commerciale.</t>
  </si>
  <si>
    <t>Il est à noter que les animaux pur-sang doivent avoir leur papier d’enregistrement en règle. Ainsi, tout sujet identifié comme « pur-sang » doit posséder son certificat d’enregistrement. De plus, la Loi canadienne d’enregistrement des animaux exige que le vendeur effectue le transfert d’enregistrement d’un animal à l’acheteur, aux frais du vendeur, et ce, dans un délai de 6 mois suivant la transaction. La SCEA applique désormais des frais supplémentaires aux vendeurs ne respectant pas ces délais.</t>
  </si>
  <si>
    <t>Le coût moyen d’élevage des sujets reproducteurs et le taux de sélection sont des paramètres étroitement reliés. Plusieurs facteurs influencent le taux de sélection, par exemple les animaux élites qui devraient être diffusés dans les noyaux de race pure se retrouvent dans les 10 % top de la sélection. Les paramètres génétiques, de santé et de conformation viennent aussi influencer le taux de sélection final. Finalement, le niveau de sélection tient aussi compte du marché, de la demande et de la race.</t>
  </si>
  <si>
    <t>Pour remplir la case « % de matière sèche des fourrages de l'entreprise », veuillez vous référer à vos analyses de foin pour entrer une donnée juste. Puisque qu'une tonne équivaut à 1000 kg, il suffit de diviser le prix à la tonne par 1000 pour obtenir le prix par kilogramme (kg). Par exemple, si le prix du maïs est de 260 $/tonne, celui-ci équivaut à 0,260 $/kg.</t>
  </si>
  <si>
    <t>Si vous n’avez pas de programme alimentaire, il est préférable de conserver les données du modèle de référence. Si vous avez un programme alimentaire, vous pouvez entrer vos propres quantités d’aliments par catégorie d’âge pour les agneaux. Si vous alimentez plutôt avec de la moulée complète, il vous est possible d’entrer cette donnée et de laisser les autres cases d’aliments vacantes.</t>
  </si>
  <si>
    <t>Si vous n’avez pas de programme alimentaire, il est préférable de conserver les données du modèle de référence. Si vous avez un programme alimentaire, vous pouvez entrer vos propres quantités d’aliments par catégorie d’âge pour les agnelles. Si vous alimentez plutôt avec de la moulée complète, il vous est possible d’entrer cette donnée et de laisser les autres cases d’aliments vacantes.</t>
  </si>
  <si>
    <t>Nombre d'agneaux sélectionnés</t>
  </si>
  <si>
    <t>Taille des onglons et tonte - Mâles (Si 2 tontes, doubler le montant.)</t>
  </si>
  <si>
    <t>Taille des onglons et tonte - Femelles</t>
  </si>
  <si>
    <t>Nombre de sujets au final par catégorie</t>
  </si>
  <si>
    <t>Les frais de tonte et de taille d'onglons sont ceux d'une ressource spécialisée. Le producteur qui les fait lui-même est déjà rémunéré dans le temps supplémentaire, qui couvre donc aussi le temps d'accompagnement de la ressource spécialisée.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</si>
</sst>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0.00\ &quot;$&quot;_);[Red]\(#,##0.00\ &quot;$&quot;\)"/>
    <numFmt numFmtId="44" formatCode="_ * #,##0.00_)\ &quot;$&quot;_ ;_ * \(#,##0.00\)\ &quot;$&quot;_ ;_ * &quot;-&quot;??_)\ &quot;$&quot;_ ;_ @_ "/>
    <numFmt numFmtId="164" formatCode="#,##0.0"/>
    <numFmt numFmtId="165" formatCode="#,##0_);[Red]\(#,##0\)"/>
    <numFmt numFmtId="166" formatCode="0.000"/>
    <numFmt numFmtId="167" formatCode="0.0"/>
    <numFmt numFmtId="168" formatCode="0.0%"/>
    <numFmt numFmtId="169" formatCode="_ * #,##0_)\ &quot;$&quot;_ ;_ * \(#,##0\)\ &quot;$&quot;_ ;_ * &quot;-&quot;??_)\ &quot;$&quot;_ ;_ @_ "/>
  </numFmts>
  <fonts count="55" x14ac:knownFonts="1">
    <font>
      <sz val="11"/>
      <color theme="1"/>
      <name val="Calibri"/>
      <family val="2"/>
      <scheme val="minor"/>
    </font>
    <font>
      <sz val="10"/>
      <color theme="1"/>
      <name val="Arial"/>
      <family val="2"/>
    </font>
    <font>
      <sz val="11"/>
      <color theme="1"/>
      <name val="Calibri"/>
      <family val="2"/>
      <scheme val="minor"/>
    </font>
    <font>
      <sz val="11"/>
      <color rgb="FF3F3F76"/>
      <name val="Calibri"/>
      <family val="2"/>
      <scheme val="minor"/>
    </font>
    <font>
      <sz val="10"/>
      <name val="Arial"/>
      <family val="2"/>
    </font>
    <font>
      <u/>
      <sz val="10"/>
      <color indexed="12"/>
      <name val="Arial"/>
      <family val="2"/>
    </font>
    <font>
      <b/>
      <sz val="14"/>
      <color theme="1"/>
      <name val="Calibri"/>
      <family val="2"/>
      <scheme val="minor"/>
    </font>
    <font>
      <b/>
      <sz val="11"/>
      <color theme="1"/>
      <name val="Calibri"/>
      <family val="2"/>
      <scheme val="minor"/>
    </font>
    <font>
      <sz val="11"/>
      <name val="Calibri"/>
      <family val="2"/>
      <scheme val="minor"/>
    </font>
    <font>
      <sz val="9"/>
      <color indexed="81"/>
      <name val="Tahoma"/>
      <family val="2"/>
    </font>
    <font>
      <b/>
      <sz val="9"/>
      <color indexed="81"/>
      <name val="Tahoma"/>
      <family val="2"/>
    </font>
    <font>
      <sz val="11"/>
      <color theme="0"/>
      <name val="Calibri"/>
      <family val="2"/>
      <scheme val="minor"/>
    </font>
    <font>
      <b/>
      <sz val="16"/>
      <color theme="1"/>
      <name val="Calibri"/>
      <family val="2"/>
      <scheme val="minor"/>
    </font>
    <font>
      <b/>
      <i/>
      <sz val="11"/>
      <color theme="1"/>
      <name val="Calibri"/>
      <family val="2"/>
      <scheme val="minor"/>
    </font>
    <font>
      <i/>
      <sz val="11"/>
      <color theme="1"/>
      <name val="Calibri"/>
      <family val="2"/>
      <scheme val="minor"/>
    </font>
    <font>
      <b/>
      <sz val="14"/>
      <color theme="0"/>
      <name val="Calibri"/>
      <family val="2"/>
      <scheme val="minor"/>
    </font>
    <font>
      <b/>
      <sz val="20"/>
      <color theme="1"/>
      <name val="Calibri"/>
      <family val="2"/>
      <scheme val="minor"/>
    </font>
    <font>
      <b/>
      <sz val="16"/>
      <color theme="1" tint="4.9989318521683403E-2"/>
      <name val="Calibri"/>
      <family val="2"/>
      <scheme val="minor"/>
    </font>
    <font>
      <b/>
      <sz val="14"/>
      <color theme="1" tint="4.9989318521683403E-2"/>
      <name val="Calibri"/>
      <family val="2"/>
      <scheme val="minor"/>
    </font>
    <font>
      <b/>
      <sz val="12"/>
      <color theme="1" tint="4.9989318521683403E-2"/>
      <name val="Calibri"/>
      <family val="2"/>
      <scheme val="minor"/>
    </font>
    <font>
      <b/>
      <sz val="11"/>
      <name val="Calibri"/>
      <family val="2"/>
      <scheme val="minor"/>
    </font>
    <font>
      <b/>
      <sz val="11"/>
      <color theme="1" tint="4.9989318521683403E-2"/>
      <name val="Calibri"/>
      <family val="2"/>
      <scheme val="minor"/>
    </font>
    <font>
      <i/>
      <sz val="11"/>
      <name val="Calibri"/>
      <family val="2"/>
      <scheme val="minor"/>
    </font>
    <font>
      <b/>
      <u/>
      <sz val="11"/>
      <name val="Calibri"/>
      <family val="2"/>
      <scheme val="minor"/>
    </font>
    <font>
      <b/>
      <sz val="11"/>
      <color theme="0"/>
      <name val="Calibri"/>
      <family val="2"/>
      <scheme val="minor"/>
    </font>
    <font>
      <i/>
      <sz val="11"/>
      <color theme="0"/>
      <name val="Calibri"/>
      <family val="2"/>
      <scheme val="minor"/>
    </font>
    <font>
      <b/>
      <vertAlign val="superscript"/>
      <sz val="14"/>
      <color theme="0"/>
      <name val="Calibri"/>
      <family val="2"/>
      <scheme val="minor"/>
    </font>
    <font>
      <vertAlign val="superscript"/>
      <sz val="11"/>
      <name val="Calibri"/>
      <family val="2"/>
      <scheme val="minor"/>
    </font>
    <font>
      <vertAlign val="superscript"/>
      <sz val="11"/>
      <color theme="1"/>
      <name val="Calibri"/>
      <family val="2"/>
      <scheme val="minor"/>
    </font>
    <font>
      <sz val="11"/>
      <name val="Calibri"/>
      <family val="2"/>
      <scheme val="minor"/>
    </font>
    <font>
      <b/>
      <sz val="11"/>
      <color theme="1" tint="4.9989318521683403E-2"/>
      <name val="Calibri"/>
      <family val="2"/>
      <scheme val="minor"/>
    </font>
    <font>
      <i/>
      <sz val="11"/>
      <name val="Calibri"/>
      <family val="2"/>
      <scheme val="minor"/>
    </font>
    <font>
      <b/>
      <sz val="11"/>
      <name val="Calibri"/>
      <family val="2"/>
      <scheme val="minor"/>
    </font>
    <font>
      <sz val="11"/>
      <color theme="1"/>
      <name val="Calibri"/>
      <family val="2"/>
      <scheme val="minor"/>
    </font>
    <font>
      <b/>
      <sz val="18"/>
      <color theme="1"/>
      <name val="Calibri"/>
      <family val="2"/>
      <scheme val="minor"/>
    </font>
    <font>
      <b/>
      <sz val="22"/>
      <color theme="1" tint="4.9989318521683403E-2"/>
      <name val="Calibri"/>
      <family val="2"/>
      <scheme val="minor"/>
    </font>
    <font>
      <b/>
      <sz val="12"/>
      <color theme="1"/>
      <name val="Calibri"/>
      <family val="2"/>
      <scheme val="minor"/>
    </font>
    <font>
      <b/>
      <sz val="14"/>
      <name val="Calibri"/>
      <family val="2"/>
      <scheme val="minor"/>
    </font>
    <font>
      <b/>
      <sz val="18"/>
      <color theme="0"/>
      <name val="Calibri"/>
      <family val="2"/>
      <scheme val="minor"/>
    </font>
    <font>
      <b/>
      <sz val="18"/>
      <color theme="9" tint="0.59999389629810485"/>
      <name val="Calibri"/>
      <family val="2"/>
      <scheme val="minor"/>
    </font>
    <font>
      <b/>
      <sz val="18"/>
      <color theme="8" tint="0.59999389629810485"/>
      <name val="Calibri"/>
      <family val="2"/>
      <scheme val="minor"/>
    </font>
    <font>
      <b/>
      <sz val="20"/>
      <color theme="0"/>
      <name val="Calibri"/>
      <family val="2"/>
      <scheme val="minor"/>
    </font>
    <font>
      <sz val="20"/>
      <name val="Calibri"/>
      <family val="2"/>
      <scheme val="minor"/>
    </font>
    <font>
      <sz val="20"/>
      <color theme="1"/>
      <name val="Calibri"/>
      <family val="2"/>
      <scheme val="minor"/>
    </font>
    <font>
      <u/>
      <sz val="11"/>
      <color theme="1"/>
      <name val="Calibri"/>
      <family val="2"/>
      <scheme val="minor"/>
    </font>
    <font>
      <u/>
      <sz val="11"/>
      <color rgb="FF0070C0"/>
      <name val="Calibri"/>
      <family val="2"/>
      <scheme val="minor"/>
    </font>
    <font>
      <b/>
      <sz val="12"/>
      <color theme="0"/>
      <name val="Calibri"/>
      <family val="2"/>
      <scheme val="minor"/>
    </font>
    <font>
      <b/>
      <sz val="22"/>
      <color theme="1"/>
      <name val="Calibri"/>
      <family val="2"/>
      <scheme val="minor"/>
    </font>
    <font>
      <sz val="12.5"/>
      <color theme="1"/>
      <name val="AR CENA"/>
    </font>
    <font>
      <sz val="10"/>
      <color theme="1"/>
      <name val="Calibri"/>
      <family val="2"/>
      <scheme val="minor"/>
    </font>
    <font>
      <sz val="10"/>
      <color theme="1"/>
      <name val="Calibri"/>
      <family val="2"/>
    </font>
    <font>
      <b/>
      <sz val="11"/>
      <color theme="8" tint="-0.249977111117893"/>
      <name val="Calibri"/>
      <family val="2"/>
      <scheme val="minor"/>
    </font>
    <font>
      <b/>
      <sz val="11"/>
      <color rgb="FFFF0066"/>
      <name val="Calibri"/>
      <family val="2"/>
      <scheme val="minor"/>
    </font>
    <font>
      <b/>
      <sz val="14"/>
      <color theme="8" tint="0.59999389629810485"/>
      <name val="Calibri"/>
      <family val="2"/>
      <scheme val="minor"/>
    </font>
    <font>
      <b/>
      <sz val="14"/>
      <color rgb="FFFF0066"/>
      <name val="Calibri"/>
      <family val="2"/>
      <scheme val="minor"/>
    </font>
  </fonts>
  <fills count="20">
    <fill>
      <patternFill patternType="none"/>
    </fill>
    <fill>
      <patternFill patternType="gray125"/>
    </fill>
    <fill>
      <patternFill patternType="solid">
        <fgColor rgb="FFFFCC99"/>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1"/>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00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5" tint="0.39997558519241921"/>
        <bgColor indexed="64"/>
      </patternFill>
    </fill>
  </fills>
  <borders count="124">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thin">
        <color auto="1"/>
      </left>
      <right/>
      <top style="hair">
        <color auto="1"/>
      </top>
      <bottom style="hair">
        <color auto="1"/>
      </bottom>
      <diagonal/>
    </border>
    <border>
      <left style="thin">
        <color auto="1"/>
      </left>
      <right style="medium">
        <color indexed="64"/>
      </right>
      <top style="hair">
        <color auto="1"/>
      </top>
      <bottom/>
      <diagonal/>
    </border>
    <border>
      <left style="thin">
        <color auto="1"/>
      </left>
      <right style="medium">
        <color indexed="64"/>
      </right>
      <top/>
      <bottom style="hair">
        <color auto="1"/>
      </bottom>
      <diagonal/>
    </border>
    <border>
      <left style="thin">
        <color auto="1"/>
      </left>
      <right style="medium">
        <color indexed="64"/>
      </right>
      <top/>
      <bottom style="thin">
        <color auto="1"/>
      </bottom>
      <diagonal/>
    </border>
    <border>
      <left/>
      <right style="thin">
        <color auto="1"/>
      </right>
      <top style="medium">
        <color auto="1"/>
      </top>
      <bottom style="hair">
        <color auto="1"/>
      </bottom>
      <diagonal/>
    </border>
    <border>
      <left/>
      <right/>
      <top style="hair">
        <color auto="1"/>
      </top>
      <bottom style="hair">
        <color auto="1"/>
      </bottom>
      <diagonal/>
    </border>
    <border>
      <left/>
      <right/>
      <top style="hair">
        <color auto="1"/>
      </top>
      <bottom style="double">
        <color auto="1"/>
      </bottom>
      <diagonal/>
    </border>
    <border>
      <left/>
      <right/>
      <top/>
      <bottom style="hair">
        <color auto="1"/>
      </bottom>
      <diagonal/>
    </border>
    <border>
      <left/>
      <right/>
      <top style="hair">
        <color auto="1"/>
      </top>
      <bottom style="thin">
        <color auto="1"/>
      </bottom>
      <diagonal/>
    </border>
    <border>
      <left/>
      <right/>
      <top style="hair">
        <color auto="1"/>
      </top>
      <bottom style="medium">
        <color auto="1"/>
      </bottom>
      <diagonal/>
    </border>
    <border>
      <left style="medium">
        <color auto="1"/>
      </left>
      <right style="double">
        <color auto="1"/>
      </right>
      <top style="medium">
        <color auto="1"/>
      </top>
      <bottom style="hair">
        <color auto="1"/>
      </bottom>
      <diagonal/>
    </border>
    <border>
      <left style="medium">
        <color auto="1"/>
      </left>
      <right style="double">
        <color auto="1"/>
      </right>
      <top style="hair">
        <color auto="1"/>
      </top>
      <bottom style="hair">
        <color auto="1"/>
      </bottom>
      <diagonal/>
    </border>
    <border>
      <left style="medium">
        <color auto="1"/>
      </left>
      <right style="double">
        <color auto="1"/>
      </right>
      <top style="hair">
        <color auto="1"/>
      </top>
      <bottom style="double">
        <color auto="1"/>
      </bottom>
      <diagonal/>
    </border>
    <border>
      <left style="medium">
        <color auto="1"/>
      </left>
      <right style="double">
        <color auto="1"/>
      </right>
      <top/>
      <bottom style="hair">
        <color auto="1"/>
      </bottom>
      <diagonal/>
    </border>
    <border>
      <left style="medium">
        <color auto="1"/>
      </left>
      <right style="double">
        <color auto="1"/>
      </right>
      <top style="hair">
        <color auto="1"/>
      </top>
      <bottom/>
      <diagonal/>
    </border>
    <border>
      <left style="medium">
        <color auto="1"/>
      </left>
      <right style="double">
        <color auto="1"/>
      </right>
      <top/>
      <bottom style="thin">
        <color auto="1"/>
      </bottom>
      <diagonal/>
    </border>
    <border>
      <left style="medium">
        <color auto="1"/>
      </left>
      <right style="double">
        <color auto="1"/>
      </right>
      <top style="hair">
        <color auto="1"/>
      </top>
      <bottom style="medium">
        <color auto="1"/>
      </bottom>
      <diagonal/>
    </border>
    <border>
      <left style="thin">
        <color auto="1"/>
      </left>
      <right style="medium">
        <color indexed="64"/>
      </right>
      <top style="hair">
        <color auto="1"/>
      </top>
      <bottom style="double">
        <color auto="1"/>
      </bottom>
      <diagonal/>
    </border>
    <border>
      <left/>
      <right/>
      <top/>
      <bottom style="medium">
        <color indexed="64"/>
      </bottom>
      <diagonal/>
    </border>
    <border>
      <left style="thin">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medium">
        <color auto="1"/>
      </top>
      <bottom style="hair">
        <color auto="1"/>
      </bottom>
      <diagonal/>
    </border>
    <border>
      <left style="medium">
        <color auto="1"/>
      </left>
      <right/>
      <top style="hair">
        <color auto="1"/>
      </top>
      <bottom style="double">
        <color auto="1"/>
      </bottom>
      <diagonal/>
    </border>
    <border>
      <left style="medium">
        <color auto="1"/>
      </left>
      <right/>
      <top/>
      <bottom style="hair">
        <color auto="1"/>
      </bottom>
      <diagonal/>
    </border>
    <border>
      <left style="medium">
        <color auto="1"/>
      </left>
      <right/>
      <top style="hair">
        <color auto="1"/>
      </top>
      <bottom style="hair">
        <color auto="1"/>
      </bottom>
      <diagonal/>
    </border>
    <border>
      <left style="medium">
        <color auto="1"/>
      </left>
      <right/>
      <top style="hair">
        <color auto="1"/>
      </top>
      <bottom style="thin">
        <color auto="1"/>
      </bottom>
      <diagonal/>
    </border>
    <border>
      <left style="medium">
        <color auto="1"/>
      </left>
      <right/>
      <top style="hair">
        <color auto="1"/>
      </top>
      <bottom style="medium">
        <color indexed="64"/>
      </bottom>
      <diagonal/>
    </border>
    <border>
      <left style="double">
        <color auto="1"/>
      </left>
      <right style="thin">
        <color auto="1"/>
      </right>
      <top style="hair">
        <color auto="1"/>
      </top>
      <bottom style="medium">
        <color auto="1"/>
      </bottom>
      <diagonal/>
    </border>
    <border>
      <left style="double">
        <color auto="1"/>
      </left>
      <right style="thin">
        <color auto="1"/>
      </right>
      <top style="hair">
        <color auto="1"/>
      </top>
      <bottom style="hair">
        <color auto="1"/>
      </bottom>
      <diagonal/>
    </border>
    <border>
      <left style="double">
        <color auto="1"/>
      </left>
      <right style="thin">
        <color auto="1"/>
      </right>
      <top style="hair">
        <color auto="1"/>
      </top>
      <bottom style="double">
        <color auto="1"/>
      </bottom>
      <diagonal/>
    </border>
    <border>
      <left style="double">
        <color auto="1"/>
      </left>
      <right style="thin">
        <color auto="1"/>
      </right>
      <top/>
      <bottom style="hair">
        <color auto="1"/>
      </bottom>
      <diagonal/>
    </border>
    <border>
      <left style="double">
        <color auto="1"/>
      </left>
      <right style="thin">
        <color auto="1"/>
      </right>
      <top style="hair">
        <color auto="1"/>
      </top>
      <bottom style="thin">
        <color auto="1"/>
      </bottom>
      <diagonal/>
    </border>
    <border>
      <left style="medium">
        <color auto="1"/>
      </left>
      <right style="double">
        <color auto="1"/>
      </right>
      <top style="hair">
        <color auto="1"/>
      </top>
      <bottom style="thin">
        <color indexed="64"/>
      </bottom>
      <diagonal/>
    </border>
    <border>
      <left/>
      <right/>
      <top style="hair">
        <color auto="1"/>
      </top>
      <bottom/>
      <diagonal/>
    </border>
    <border>
      <left style="medium">
        <color auto="1"/>
      </left>
      <right/>
      <top style="hair">
        <color auto="1"/>
      </top>
      <bottom/>
      <diagonal/>
    </border>
    <border>
      <left style="double">
        <color auto="1"/>
      </left>
      <right style="thin">
        <color auto="1"/>
      </right>
      <top style="hair">
        <color auto="1"/>
      </top>
      <bottom/>
      <diagonal/>
    </border>
    <border>
      <left style="medium">
        <color auto="1"/>
      </left>
      <right style="double">
        <color auto="1"/>
      </right>
      <top style="thin">
        <color auto="1"/>
      </top>
      <bottom style="hair">
        <color auto="1"/>
      </bottom>
      <diagonal/>
    </border>
    <border>
      <left/>
      <right/>
      <top style="thin">
        <color auto="1"/>
      </top>
      <bottom style="hair">
        <color auto="1"/>
      </bottom>
      <diagonal/>
    </border>
    <border>
      <left style="medium">
        <color auto="1"/>
      </left>
      <right/>
      <top style="thin">
        <color auto="1"/>
      </top>
      <bottom style="hair">
        <color auto="1"/>
      </bottom>
      <diagonal/>
    </border>
    <border>
      <left style="double">
        <color auto="1"/>
      </left>
      <right style="thin">
        <color auto="1"/>
      </right>
      <top style="thin">
        <color auto="1"/>
      </top>
      <bottom style="hair">
        <color auto="1"/>
      </bottom>
      <diagonal/>
    </border>
    <border>
      <left style="thin">
        <color auto="1"/>
      </left>
      <right style="medium">
        <color indexed="64"/>
      </right>
      <top style="thin">
        <color auto="1"/>
      </top>
      <bottom/>
      <diagonal/>
    </border>
    <border>
      <left style="medium">
        <color indexed="64"/>
      </left>
      <right/>
      <top style="medium">
        <color indexed="0"/>
      </top>
      <bottom style="medium">
        <color indexed="0"/>
      </bottom>
      <diagonal/>
    </border>
    <border>
      <left/>
      <right style="medium">
        <color auto="1"/>
      </right>
      <top style="hair">
        <color auto="1"/>
      </top>
      <bottom style="hair">
        <color auto="1"/>
      </bottom>
      <diagonal/>
    </border>
    <border>
      <left style="medium">
        <color indexed="64"/>
      </left>
      <right style="thin">
        <color auto="1"/>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double">
        <color auto="1"/>
      </right>
      <top style="medium">
        <color indexed="64"/>
      </top>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thin">
        <color auto="1"/>
      </left>
      <right style="double">
        <color auto="1"/>
      </right>
      <top/>
      <bottom/>
      <diagonal/>
    </border>
    <border>
      <left/>
      <right style="thin">
        <color auto="1"/>
      </right>
      <top/>
      <bottom/>
      <diagonal/>
    </border>
    <border>
      <left style="thin">
        <color auto="1"/>
      </left>
      <right style="double">
        <color auto="1"/>
      </right>
      <top style="medium">
        <color indexed="0"/>
      </top>
      <bottom style="medium">
        <color indexed="0"/>
      </bottom>
      <diagonal/>
    </border>
    <border>
      <left/>
      <right style="thin">
        <color auto="1"/>
      </right>
      <top style="medium">
        <color indexed="0"/>
      </top>
      <bottom style="medium">
        <color indexed="0"/>
      </bottom>
      <diagonal/>
    </border>
    <border>
      <left style="thin">
        <color auto="1"/>
      </left>
      <right style="double">
        <color auto="1"/>
      </right>
      <top/>
      <bottom style="medium">
        <color indexed="64"/>
      </bottom>
      <diagonal/>
    </border>
    <border>
      <left style="double">
        <color auto="1"/>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auto="1"/>
      </right>
      <top style="medium">
        <color indexed="64"/>
      </top>
      <bottom style="medium">
        <color indexed="64"/>
      </bottom>
      <diagonal/>
    </border>
    <border>
      <left style="thin">
        <color auto="1"/>
      </left>
      <right style="thin">
        <color auto="1"/>
      </right>
      <top style="medium">
        <color indexed="64"/>
      </top>
      <bottom/>
      <diagonal/>
    </border>
    <border>
      <left style="double">
        <color auto="1"/>
      </left>
      <right style="thin">
        <color auto="1"/>
      </right>
      <top/>
      <bottom/>
      <diagonal/>
    </border>
    <border>
      <left style="thin">
        <color auto="1"/>
      </left>
      <right style="thin">
        <color auto="1"/>
      </right>
      <top/>
      <bottom/>
      <diagonal/>
    </border>
    <border>
      <left style="double">
        <color auto="1"/>
      </left>
      <right style="thin">
        <color auto="1"/>
      </right>
      <top/>
      <bottom style="medium">
        <color indexed="64"/>
      </bottom>
      <diagonal/>
    </border>
    <border>
      <left style="thin">
        <color auto="1"/>
      </left>
      <right style="thin">
        <color auto="1"/>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auto="1"/>
      </right>
      <top style="medium">
        <color indexed="64"/>
      </top>
      <bottom style="medium">
        <color indexed="64"/>
      </bottom>
      <diagonal/>
    </border>
    <border>
      <left/>
      <right style="double">
        <color indexed="64"/>
      </right>
      <top/>
      <bottom style="medium">
        <color indexed="64"/>
      </bottom>
      <diagonal/>
    </border>
    <border>
      <left/>
      <right style="thin">
        <color auto="1"/>
      </right>
      <top/>
      <bottom style="medium">
        <color indexed="64"/>
      </bottom>
      <diagonal/>
    </border>
    <border>
      <left style="double">
        <color auto="1"/>
      </left>
      <right/>
      <top style="thin">
        <color indexed="64"/>
      </top>
      <bottom style="thin">
        <color auto="1"/>
      </bottom>
      <diagonal/>
    </border>
    <border>
      <left/>
      <right/>
      <top style="thin">
        <color indexed="64"/>
      </top>
      <bottom style="thin">
        <color auto="1"/>
      </bottom>
      <diagonal/>
    </border>
    <border>
      <left/>
      <right style="medium">
        <color indexed="64"/>
      </right>
      <top style="thin">
        <color indexed="64"/>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style="medium">
        <color indexed="64"/>
      </bottom>
      <diagonal/>
    </border>
    <border>
      <left/>
      <right style="thin">
        <color auto="1"/>
      </right>
      <top/>
      <bottom style="hair">
        <color indexed="64"/>
      </bottom>
      <diagonal/>
    </border>
    <border>
      <left style="thin">
        <color auto="1"/>
      </left>
      <right style="thin">
        <color auto="1"/>
      </right>
      <top/>
      <bottom style="hair">
        <color indexed="64"/>
      </bottom>
      <diagonal/>
    </border>
    <border>
      <left style="thin">
        <color auto="1"/>
      </left>
      <right style="double">
        <color auto="1"/>
      </right>
      <top/>
      <bottom style="hair">
        <color indexed="64"/>
      </bottom>
      <diagonal/>
    </border>
    <border>
      <left style="medium">
        <color indexed="64"/>
      </left>
      <right style="thin">
        <color auto="1"/>
      </right>
      <top/>
      <bottom style="hair">
        <color indexed="64"/>
      </bottom>
      <diagonal/>
    </border>
    <border>
      <left/>
      <right style="thin">
        <color auto="1"/>
      </right>
      <top style="hair">
        <color indexed="64"/>
      </top>
      <bottom/>
      <diagonal/>
    </border>
    <border>
      <left style="thin">
        <color auto="1"/>
      </left>
      <right style="thin">
        <color auto="1"/>
      </right>
      <top style="hair">
        <color indexed="64"/>
      </top>
      <bottom/>
      <diagonal/>
    </border>
    <border>
      <left style="thin">
        <color auto="1"/>
      </left>
      <right style="double">
        <color auto="1"/>
      </right>
      <top style="hair">
        <color indexed="64"/>
      </top>
      <bottom/>
      <diagonal/>
    </border>
    <border>
      <left style="thin">
        <color auto="1"/>
      </left>
      <right/>
      <top style="hair">
        <color auto="1"/>
      </top>
      <bottom style="medium">
        <color auto="1"/>
      </bottom>
      <diagonal/>
    </border>
    <border>
      <left style="double">
        <color auto="1"/>
      </left>
      <right/>
      <top style="hair">
        <color auto="1"/>
      </top>
      <bottom style="hair">
        <color auto="1"/>
      </bottom>
      <diagonal/>
    </border>
    <border>
      <left style="double">
        <color auto="1"/>
      </left>
      <right/>
      <top style="hair">
        <color auto="1"/>
      </top>
      <bottom style="medium">
        <color auto="1"/>
      </bottom>
      <diagonal/>
    </border>
    <border>
      <left/>
      <right style="medium">
        <color auto="1"/>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indexed="64"/>
      </left>
      <right style="thin">
        <color auto="1"/>
      </right>
      <top style="hair">
        <color indexed="64"/>
      </top>
      <bottom/>
      <diagonal/>
    </border>
    <border>
      <left style="thin">
        <color auto="1"/>
      </left>
      <right/>
      <top/>
      <bottom style="medium">
        <color indexed="64"/>
      </bottom>
      <diagonal/>
    </border>
    <border>
      <left style="medium">
        <color auto="1"/>
      </left>
      <right style="thin">
        <color auto="1"/>
      </right>
      <top style="hair">
        <color auto="1"/>
      </top>
      <bottom style="medium">
        <color auto="1"/>
      </bottom>
      <diagonal/>
    </border>
    <border>
      <left/>
      <right style="thin">
        <color auto="1"/>
      </right>
      <top style="hair">
        <color auto="1"/>
      </top>
      <bottom style="hair">
        <color auto="1"/>
      </bottom>
      <diagonal/>
    </border>
    <border>
      <left/>
      <right style="thin">
        <color auto="1"/>
      </right>
      <top style="hair">
        <color auto="1"/>
      </top>
      <bottom style="medium">
        <color auto="1"/>
      </bottom>
      <diagonal/>
    </border>
    <border>
      <left/>
      <right style="thin">
        <color auto="1"/>
      </right>
      <top style="hair">
        <color auto="1"/>
      </top>
      <bottom style="thin">
        <color auto="1"/>
      </bottom>
      <diagonal/>
    </border>
    <border>
      <left style="thin">
        <color auto="1"/>
      </left>
      <right style="medium">
        <color auto="1"/>
      </right>
      <top style="hair">
        <color auto="1"/>
      </top>
      <bottom style="thin">
        <color auto="1"/>
      </bottom>
      <diagonal/>
    </border>
    <border>
      <left style="medium">
        <color auto="1"/>
      </left>
      <right style="double">
        <color auto="1"/>
      </right>
      <top/>
      <bottom style="medium">
        <color auto="1"/>
      </bottom>
      <diagonal/>
    </border>
    <border>
      <left style="medium">
        <color auto="1"/>
      </left>
      <right/>
      <top style="medium">
        <color auto="1"/>
      </top>
      <bottom/>
      <diagonal/>
    </border>
    <border>
      <left style="medium">
        <color auto="1"/>
      </left>
      <right/>
      <top/>
      <bottom style="double">
        <color auto="1"/>
      </bottom>
      <diagonal/>
    </border>
    <border>
      <left style="thin">
        <color auto="1"/>
      </left>
      <right/>
      <top/>
      <bottom style="hair">
        <color indexed="64"/>
      </bottom>
      <diagonal/>
    </border>
    <border>
      <left style="thin">
        <color auto="1"/>
      </left>
      <right/>
      <top style="hair">
        <color auto="1"/>
      </top>
      <bottom style="thin">
        <color auto="1"/>
      </bottom>
      <diagonal/>
    </border>
    <border>
      <left style="medium">
        <color auto="1"/>
      </left>
      <right style="thin">
        <color auto="1"/>
      </right>
      <top style="hair">
        <color auto="1"/>
      </top>
      <bottom style="thin">
        <color auto="1"/>
      </bottom>
      <diagonal/>
    </border>
    <border>
      <left style="double">
        <color auto="1"/>
      </left>
      <right style="thin">
        <color auto="1"/>
      </right>
      <top/>
      <bottom style="double">
        <color auto="1"/>
      </bottom>
      <diagonal/>
    </border>
    <border>
      <left style="thin">
        <color auto="1"/>
      </left>
      <right/>
      <top/>
      <bottom style="double">
        <color auto="1"/>
      </bottom>
      <diagonal/>
    </border>
    <border>
      <left style="medium">
        <color auto="1"/>
      </left>
      <right style="thin">
        <color auto="1"/>
      </right>
      <top/>
      <bottom style="double">
        <color auto="1"/>
      </bottom>
      <diagonal/>
    </border>
    <border>
      <left style="thin">
        <color auto="1"/>
      </left>
      <right style="medium">
        <color indexed="64"/>
      </right>
      <top/>
      <bottom style="double">
        <color auto="1"/>
      </bottom>
      <diagonal/>
    </border>
    <border>
      <left style="double">
        <color auto="1"/>
      </left>
      <right/>
      <top style="medium">
        <color auto="1"/>
      </top>
      <bottom style="hair">
        <color auto="1"/>
      </bottom>
      <diagonal/>
    </border>
    <border>
      <left/>
      <right/>
      <top style="medium">
        <color auto="1"/>
      </top>
      <bottom style="hair">
        <color auto="1"/>
      </bottom>
      <diagonal/>
    </border>
    <border>
      <left style="medium">
        <color auto="1"/>
      </left>
      <right style="thin">
        <color auto="1"/>
      </right>
      <top style="medium">
        <color auto="1"/>
      </top>
      <bottom style="hair">
        <color auto="1"/>
      </bottom>
      <diagonal/>
    </border>
    <border>
      <left style="thin">
        <color auto="1"/>
      </left>
      <right style="medium">
        <color indexed="64"/>
      </right>
      <top style="medium">
        <color auto="1"/>
      </top>
      <bottom style="hair">
        <color auto="1"/>
      </bottom>
      <diagonal/>
    </border>
    <border>
      <left/>
      <right/>
      <top/>
      <bottom style="thin">
        <color indexed="64"/>
      </bottom>
      <diagonal/>
    </border>
    <border>
      <left style="medium">
        <color auto="1"/>
      </left>
      <right style="medium">
        <color auto="1"/>
      </right>
      <top style="medium">
        <color auto="1"/>
      </top>
      <bottom/>
      <diagonal/>
    </border>
    <border>
      <left style="medium">
        <color auto="1"/>
      </left>
      <right style="medium">
        <color indexed="64"/>
      </right>
      <top/>
      <bottom/>
      <diagonal/>
    </border>
    <border>
      <left style="medium">
        <color auto="1"/>
      </left>
      <right style="medium">
        <color indexed="64"/>
      </right>
      <top/>
      <bottom style="medium">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style="medium">
        <color auto="1"/>
      </left>
      <right style="medium">
        <color indexed="64"/>
      </right>
      <top style="hair">
        <color auto="1"/>
      </top>
      <bottom/>
      <diagonal/>
    </border>
    <border>
      <left style="medium">
        <color auto="1"/>
      </left>
      <right style="medium">
        <color indexed="64"/>
      </right>
      <top/>
      <bottom style="hair">
        <color auto="1"/>
      </bottom>
      <diagonal/>
    </border>
    <border>
      <left style="medium">
        <color indexed="8"/>
      </left>
      <right style="thin">
        <color indexed="64"/>
      </right>
      <top/>
      <bottom/>
      <diagonal/>
    </border>
  </borders>
  <cellStyleXfs count="7">
    <xf numFmtId="0" fontId="0" fillId="0" borderId="0">
      <alignment vertical="center" wrapText="1"/>
    </xf>
    <xf numFmtId="44" fontId="2" fillId="0" borderId="0" applyFont="0" applyFill="0" applyBorder="0" applyAlignment="0" applyProtection="0"/>
    <xf numFmtId="0" fontId="3" fillId="2" borderId="1" applyNumberFormat="0" applyAlignment="0" applyProtection="0"/>
    <xf numFmtId="0" fontId="4" fillId="0" borderId="0"/>
    <xf numFmtId="0" fontId="5" fillId="0" borderId="0" applyNumberFormat="0" applyFill="0" applyBorder="0" applyAlignment="0" applyProtection="0">
      <alignment vertical="top"/>
      <protection locked="0"/>
    </xf>
    <xf numFmtId="3" fontId="4" fillId="0" borderId="0" applyFill="0" applyBorder="0" applyAlignment="0" applyProtection="0"/>
    <xf numFmtId="9" fontId="2" fillId="0" borderId="0" applyFont="0" applyFill="0" applyBorder="0" applyAlignment="0" applyProtection="0"/>
  </cellStyleXfs>
  <cellXfs count="625">
    <xf numFmtId="0" fontId="0" fillId="0" borderId="0" xfId="0">
      <alignment vertical="center" wrapText="1"/>
    </xf>
    <xf numFmtId="0" fontId="0" fillId="0" borderId="0" xfId="0" applyAlignment="1">
      <alignment vertical="center"/>
    </xf>
    <xf numFmtId="0" fontId="0" fillId="0" borderId="0" xfId="0" applyFont="1" applyFill="1" applyAlignme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Font="1" applyAlignment="1">
      <alignment horizontal="center" vertical="center"/>
    </xf>
    <xf numFmtId="0" fontId="0" fillId="0" borderId="0" xfId="0" applyFont="1" applyFill="1" applyBorder="1" applyAlignment="1">
      <alignment vertical="center"/>
    </xf>
    <xf numFmtId="0" fontId="8" fillId="0" borderId="0" xfId="3" applyFont="1" applyFill="1" applyBorder="1" applyAlignment="1">
      <alignment vertical="center"/>
    </xf>
    <xf numFmtId="0" fontId="8" fillId="0" borderId="0" xfId="3" applyFont="1" applyAlignment="1">
      <alignment vertical="center"/>
    </xf>
    <xf numFmtId="0" fontId="8" fillId="0" borderId="0" xfId="3" applyFont="1" applyAlignment="1">
      <alignment horizontal="center" vertical="center"/>
    </xf>
    <xf numFmtId="0" fontId="0" fillId="0" borderId="0" xfId="0" applyFont="1" applyFill="1" applyBorder="1" applyAlignment="1">
      <alignment horizontal="center" vertical="center"/>
    </xf>
    <xf numFmtId="0" fontId="8" fillId="0" borderId="0" xfId="0" applyFont="1" applyAlignment="1">
      <alignment vertical="center"/>
    </xf>
    <xf numFmtId="0" fontId="8" fillId="0" borderId="0" xfId="0" applyFont="1" applyAlignment="1">
      <alignment horizontal="center" vertical="center"/>
    </xf>
    <xf numFmtId="0" fontId="8" fillId="0" borderId="0" xfId="3" applyFont="1" applyFill="1" applyAlignment="1">
      <alignment vertical="center"/>
    </xf>
    <xf numFmtId="0" fontId="0" fillId="3" borderId="13" xfId="0" applyFont="1" applyFill="1" applyBorder="1" applyAlignment="1" applyProtection="1">
      <alignment vertical="center"/>
      <protection locked="0"/>
    </xf>
    <xf numFmtId="0" fontId="0" fillId="11" borderId="13" xfId="0" applyFont="1" applyFill="1" applyBorder="1" applyAlignment="1" applyProtection="1">
      <alignment vertical="center"/>
      <protection locked="0"/>
    </xf>
    <xf numFmtId="1" fontId="0" fillId="3" borderId="13" xfId="1" applyNumberFormat="1" applyFont="1" applyFill="1" applyBorder="1" applyAlignment="1" applyProtection="1">
      <alignment vertical="center"/>
      <protection locked="0"/>
    </xf>
    <xf numFmtId="2" fontId="0" fillId="3" borderId="13" xfId="0" applyNumberFormat="1" applyFont="1" applyFill="1" applyBorder="1" applyAlignment="1" applyProtection="1">
      <alignment vertical="center"/>
      <protection locked="0"/>
    </xf>
    <xf numFmtId="0" fontId="8" fillId="0" borderId="2" xfId="3" applyFont="1" applyFill="1" applyBorder="1" applyAlignment="1">
      <alignment horizontal="center" vertical="center"/>
    </xf>
    <xf numFmtId="0" fontId="0" fillId="3" borderId="17" xfId="0" applyFont="1" applyFill="1" applyBorder="1" applyAlignment="1" applyProtection="1">
      <alignment vertical="center"/>
      <protection locked="0"/>
    </xf>
    <xf numFmtId="0" fontId="0" fillId="11" borderId="16" xfId="0" applyFont="1" applyFill="1" applyBorder="1" applyAlignment="1" applyProtection="1">
      <alignment vertical="center"/>
      <protection locked="0"/>
    </xf>
    <xf numFmtId="0" fontId="8" fillId="0" borderId="0" xfId="0" applyFont="1" applyFill="1" applyAlignment="1">
      <alignment vertical="center"/>
    </xf>
    <xf numFmtId="0" fontId="21" fillId="3" borderId="26" xfId="3" applyFont="1" applyFill="1" applyBorder="1" applyAlignment="1">
      <alignment horizontal="center" vertical="center"/>
    </xf>
    <xf numFmtId="0" fontId="8" fillId="4" borderId="3" xfId="3" applyFont="1" applyFill="1" applyBorder="1" applyAlignment="1">
      <alignment horizontal="center" vertical="center"/>
    </xf>
    <xf numFmtId="3" fontId="0" fillId="0" borderId="0" xfId="0" applyNumberFormat="1" applyFont="1" applyAlignment="1">
      <alignment vertical="center"/>
    </xf>
    <xf numFmtId="165" fontId="0" fillId="0" borderId="0" xfId="0" applyNumberFormat="1" applyFont="1" applyAlignment="1">
      <alignment vertical="center"/>
    </xf>
    <xf numFmtId="3" fontId="20" fillId="0" borderId="0" xfId="5" applyNumberFormat="1" applyFont="1" applyFill="1" applyBorder="1" applyAlignment="1">
      <alignment horizontal="right" vertical="center" indent="3"/>
    </xf>
    <xf numFmtId="3" fontId="20" fillId="0" borderId="0" xfId="5" applyNumberFormat="1" applyFont="1" applyFill="1" applyBorder="1" applyAlignment="1">
      <alignment horizontal="center" vertical="center"/>
    </xf>
    <xf numFmtId="0" fontId="0" fillId="3" borderId="15" xfId="0" applyFont="1" applyFill="1" applyBorder="1" applyAlignment="1" applyProtection="1">
      <alignment vertical="center"/>
      <protection locked="0"/>
    </xf>
    <xf numFmtId="166" fontId="0" fillId="11" borderId="13" xfId="0" applyNumberFormat="1" applyFont="1" applyFill="1" applyBorder="1" applyAlignment="1" applyProtection="1">
      <alignment vertical="center"/>
      <protection locked="0"/>
    </xf>
    <xf numFmtId="0" fontId="29" fillId="0" borderId="0" xfId="0" applyFont="1" applyAlignment="1">
      <alignment vertical="center"/>
    </xf>
    <xf numFmtId="0" fontId="29" fillId="0" borderId="0" xfId="0" applyFont="1" applyFill="1" applyAlignment="1">
      <alignment vertical="center"/>
    </xf>
    <xf numFmtId="0" fontId="30" fillId="3" borderId="26" xfId="3" applyFont="1" applyFill="1" applyBorder="1" applyAlignment="1">
      <alignment horizontal="center" vertical="center"/>
    </xf>
    <xf numFmtId="0" fontId="12" fillId="0" borderId="0" xfId="0" applyFont="1" applyFill="1" applyBorder="1" applyAlignment="1">
      <alignment horizontal="center" vertical="center"/>
    </xf>
    <xf numFmtId="0" fontId="18" fillId="0" borderId="0" xfId="3" applyFont="1" applyFill="1" applyBorder="1" applyAlignment="1">
      <alignment horizontal="center" vertical="center"/>
    </xf>
    <xf numFmtId="0" fontId="21" fillId="0" borderId="26" xfId="3" applyFont="1" applyFill="1" applyBorder="1" applyAlignment="1">
      <alignment horizontal="center" vertical="center"/>
    </xf>
    <xf numFmtId="164" fontId="20" fillId="0" borderId="0" xfId="5" applyNumberFormat="1" applyFont="1" applyFill="1" applyBorder="1" applyAlignment="1">
      <alignment horizontal="center" vertical="center"/>
    </xf>
    <xf numFmtId="165" fontId="20" fillId="0" borderId="0" xfId="5" applyNumberFormat="1" applyFont="1" applyFill="1" applyBorder="1" applyAlignment="1">
      <alignment horizontal="right" vertical="center" indent="3"/>
    </xf>
    <xf numFmtId="3" fontId="24" fillId="0" borderId="0" xfId="5" applyNumberFormat="1" applyFont="1" applyFill="1" applyBorder="1" applyAlignment="1">
      <alignment horizontal="right" vertical="center" indent="3"/>
    </xf>
    <xf numFmtId="3" fontId="20" fillId="0" borderId="0" xfId="1" applyNumberFormat="1" applyFont="1" applyFill="1" applyBorder="1" applyAlignment="1">
      <alignment horizontal="center" vertical="center"/>
    </xf>
    <xf numFmtId="3" fontId="20" fillId="0" borderId="0" xfId="5" applyNumberFormat="1" applyFont="1" applyFill="1" applyBorder="1" applyAlignment="1">
      <alignment horizontal="right" vertical="center"/>
    </xf>
    <xf numFmtId="3" fontId="32" fillId="0" borderId="0" xfId="5" applyNumberFormat="1" applyFont="1" applyFill="1" applyBorder="1" applyAlignment="1">
      <alignment horizontal="right" vertical="center"/>
    </xf>
    <xf numFmtId="3" fontId="20" fillId="0" borderId="0" xfId="3" applyNumberFormat="1" applyFont="1" applyFill="1" applyBorder="1" applyAlignment="1">
      <alignment horizontal="right" vertical="center" indent="3"/>
    </xf>
    <xf numFmtId="165" fontId="0" fillId="0" borderId="0" xfId="0" applyNumberFormat="1" applyFont="1" applyFill="1" applyAlignment="1">
      <alignment vertical="center"/>
    </xf>
    <xf numFmtId="0" fontId="8" fillId="0" borderId="0" xfId="0" applyFont="1" applyFill="1" applyBorder="1" applyAlignment="1">
      <alignment vertical="center"/>
    </xf>
    <xf numFmtId="9" fontId="20" fillId="0" borderId="0" xfId="6" applyFont="1" applyFill="1" applyBorder="1" applyAlignment="1">
      <alignment horizontal="right" vertical="center" indent="3"/>
    </xf>
    <xf numFmtId="9" fontId="20" fillId="0" borderId="0" xfId="6" applyFont="1" applyFill="1" applyBorder="1" applyAlignment="1">
      <alignment horizontal="center" vertical="center"/>
    </xf>
    <xf numFmtId="0" fontId="34" fillId="0" borderId="0" xfId="0" applyFont="1" applyAlignment="1">
      <alignment horizontal="center" vertical="center" wrapText="1"/>
    </xf>
    <xf numFmtId="0" fontId="8" fillId="0" borderId="0" xfId="0" applyNumberFormat="1" applyFont="1" applyFill="1" applyAlignment="1">
      <alignment vertical="center"/>
    </xf>
    <xf numFmtId="0" fontId="8" fillId="0" borderId="0" xfId="0" applyFont="1" applyBorder="1" applyAlignment="1">
      <alignment vertical="center"/>
    </xf>
    <xf numFmtId="0" fontId="29" fillId="0" borderId="0" xfId="0" applyFont="1" applyBorder="1" applyAlignment="1">
      <alignment vertical="center"/>
    </xf>
    <xf numFmtId="0" fontId="8" fillId="0" borderId="0" xfId="0" applyNumberFormat="1" applyFont="1" applyBorder="1" applyAlignment="1">
      <alignment vertical="center"/>
    </xf>
    <xf numFmtId="0" fontId="21" fillId="3" borderId="54" xfId="3" applyFont="1" applyFill="1" applyBorder="1" applyAlignment="1">
      <alignment horizontal="center" vertical="center"/>
    </xf>
    <xf numFmtId="0" fontId="11" fillId="8" borderId="57" xfId="3" applyFont="1" applyFill="1" applyBorder="1" applyAlignment="1">
      <alignment horizontal="center" vertical="center"/>
    </xf>
    <xf numFmtId="0" fontId="22" fillId="9" borderId="57" xfId="3" applyFont="1" applyFill="1" applyBorder="1" applyAlignment="1">
      <alignment horizontal="center" vertical="center"/>
    </xf>
    <xf numFmtId="0" fontId="31" fillId="9" borderId="57" xfId="3" applyFont="1" applyFill="1" applyBorder="1" applyAlignment="1">
      <alignment horizontal="center" vertical="center"/>
    </xf>
    <xf numFmtId="0" fontId="8" fillId="0" borderId="58" xfId="3" applyFont="1" applyFill="1" applyBorder="1" applyAlignment="1">
      <alignment vertical="center"/>
    </xf>
    <xf numFmtId="0" fontId="22" fillId="0" borderId="57" xfId="3" applyFont="1" applyFill="1" applyBorder="1" applyAlignment="1">
      <alignment horizontal="center" vertical="center"/>
    </xf>
    <xf numFmtId="0" fontId="22" fillId="9" borderId="57" xfId="4" applyFont="1" applyFill="1" applyBorder="1" applyAlignment="1" applyProtection="1">
      <alignment horizontal="center" vertical="center"/>
    </xf>
    <xf numFmtId="0" fontId="22" fillId="0" borderId="57" xfId="3" applyFont="1" applyBorder="1" applyAlignment="1">
      <alignment horizontal="center" vertical="center"/>
    </xf>
    <xf numFmtId="0" fontId="22" fillId="10" borderId="57" xfId="3" applyFont="1" applyFill="1" applyBorder="1" applyAlignment="1">
      <alignment horizontal="center" vertical="center"/>
    </xf>
    <xf numFmtId="0" fontId="22" fillId="0" borderId="57" xfId="4" applyFont="1" applyFill="1" applyBorder="1" applyAlignment="1" applyProtection="1">
      <alignment horizontal="center" vertical="center"/>
    </xf>
    <xf numFmtId="0" fontId="25" fillId="8" borderId="57" xfId="4" applyFont="1" applyFill="1" applyBorder="1" applyAlignment="1" applyProtection="1">
      <alignment horizontal="center" vertical="center"/>
    </xf>
    <xf numFmtId="0" fontId="22" fillId="12" borderId="57" xfId="4" applyFont="1" applyFill="1" applyBorder="1" applyAlignment="1" applyProtection="1">
      <alignment horizontal="center" vertical="center"/>
    </xf>
    <xf numFmtId="0" fontId="22" fillId="10" borderId="57" xfId="4" applyFont="1" applyFill="1" applyBorder="1" applyAlignment="1" applyProtection="1">
      <alignment horizontal="center" vertical="center"/>
    </xf>
    <xf numFmtId="0" fontId="31" fillId="0" borderId="57" xfId="4" applyFont="1" applyFill="1" applyBorder="1" applyAlignment="1" applyProtection="1">
      <alignment horizontal="center" vertical="center"/>
    </xf>
    <xf numFmtId="0" fontId="25" fillId="8" borderId="57" xfId="3" applyFont="1" applyFill="1" applyBorder="1" applyAlignment="1">
      <alignment horizontal="center" vertical="center"/>
    </xf>
    <xf numFmtId="0" fontId="22" fillId="12" borderId="57" xfId="3" applyFont="1" applyFill="1" applyBorder="1" applyAlignment="1">
      <alignment horizontal="center" vertical="center"/>
    </xf>
    <xf numFmtId="0" fontId="8" fillId="0" borderId="60" xfId="3" applyFont="1" applyFill="1" applyBorder="1" applyAlignment="1">
      <alignment vertical="center" wrapText="1"/>
    </xf>
    <xf numFmtId="0" fontId="22" fillId="0" borderId="59" xfId="3" applyFont="1" applyFill="1" applyBorder="1" applyAlignment="1">
      <alignment horizontal="center" vertical="center"/>
    </xf>
    <xf numFmtId="0" fontId="22" fillId="4" borderId="61" xfId="3" applyFont="1" applyFill="1" applyBorder="1" applyAlignment="1">
      <alignment horizontal="center" vertical="center"/>
    </xf>
    <xf numFmtId="0" fontId="21" fillId="3" borderId="62" xfId="3" applyFont="1" applyFill="1" applyBorder="1" applyAlignment="1">
      <alignment horizontal="center" vertical="center"/>
    </xf>
    <xf numFmtId="0" fontId="21" fillId="3" borderId="63" xfId="3" applyFont="1" applyFill="1" applyBorder="1" applyAlignment="1">
      <alignment horizontal="center" vertical="center"/>
    </xf>
    <xf numFmtId="0" fontId="21" fillId="3" borderId="64" xfId="3" applyFont="1" applyFill="1" applyBorder="1" applyAlignment="1">
      <alignment horizontal="center" vertical="center"/>
    </xf>
    <xf numFmtId="4" fontId="11" fillId="8" borderId="66" xfId="3" applyNumberFormat="1" applyFont="1" applyFill="1" applyBorder="1" applyAlignment="1">
      <alignment vertical="center"/>
    </xf>
    <xf numFmtId="3" fontId="11" fillId="8" borderId="67" xfId="3" applyNumberFormat="1" applyFont="1" applyFill="1" applyBorder="1" applyAlignment="1">
      <alignment vertical="center"/>
    </xf>
    <xf numFmtId="3" fontId="11" fillId="8" borderId="4" xfId="3" applyNumberFormat="1" applyFont="1" applyFill="1" applyBorder="1" applyAlignment="1">
      <alignment vertical="center"/>
    </xf>
    <xf numFmtId="3" fontId="20" fillId="9" borderId="66" xfId="5" applyNumberFormat="1" applyFont="1" applyFill="1" applyBorder="1" applyAlignment="1">
      <alignment horizontal="center" vertical="center"/>
    </xf>
    <xf numFmtId="3" fontId="20" fillId="9" borderId="67" xfId="5" applyNumberFormat="1" applyFont="1" applyFill="1" applyBorder="1" applyAlignment="1">
      <alignment horizontal="center" vertical="center"/>
    </xf>
    <xf numFmtId="3" fontId="20" fillId="9" borderId="4" xfId="5" applyNumberFormat="1" applyFont="1" applyFill="1" applyBorder="1" applyAlignment="1">
      <alignment horizontal="center" vertical="center"/>
    </xf>
    <xf numFmtId="9" fontId="8" fillId="9" borderId="66" xfId="6" applyFont="1" applyFill="1" applyBorder="1" applyAlignment="1">
      <alignment horizontal="center" vertical="center"/>
    </xf>
    <xf numFmtId="9" fontId="8" fillId="9" borderId="67" xfId="6" applyFont="1" applyFill="1" applyBorder="1" applyAlignment="1">
      <alignment horizontal="center" vertical="center"/>
    </xf>
    <xf numFmtId="3" fontId="8" fillId="9" borderId="4" xfId="5" applyNumberFormat="1" applyFont="1" applyFill="1" applyBorder="1" applyAlignment="1">
      <alignment horizontal="center" vertical="center"/>
    </xf>
    <xf numFmtId="3" fontId="20" fillId="0" borderId="66" xfId="5" applyNumberFormat="1" applyFont="1" applyFill="1" applyBorder="1" applyAlignment="1">
      <alignment horizontal="right" vertical="center" indent="3"/>
    </xf>
    <xf numFmtId="3" fontId="20" fillId="0" borderId="67" xfId="5" applyNumberFormat="1" applyFont="1" applyFill="1" applyBorder="1" applyAlignment="1">
      <alignment horizontal="right" vertical="center" indent="3"/>
    </xf>
    <xf numFmtId="3" fontId="20" fillId="0" borderId="4" xfId="5" applyNumberFormat="1" applyFont="1" applyFill="1" applyBorder="1" applyAlignment="1">
      <alignment horizontal="right" vertical="center" indent="3"/>
    </xf>
    <xf numFmtId="3" fontId="20" fillId="9" borderId="66" xfId="3" applyNumberFormat="1" applyFont="1" applyFill="1" applyBorder="1" applyAlignment="1">
      <alignment horizontal="center" vertical="center"/>
    </xf>
    <xf numFmtId="3" fontId="20" fillId="9" borderId="67" xfId="3" applyNumberFormat="1" applyFont="1" applyFill="1" applyBorder="1" applyAlignment="1">
      <alignment horizontal="center" vertical="center"/>
    </xf>
    <xf numFmtId="3" fontId="20" fillId="9" borderId="4" xfId="3" applyNumberFormat="1" applyFont="1" applyFill="1" applyBorder="1" applyAlignment="1">
      <alignment horizontal="center" vertical="center"/>
    </xf>
    <xf numFmtId="3" fontId="8" fillId="0" borderId="66" xfId="5" applyNumberFormat="1" applyFont="1" applyFill="1" applyBorder="1" applyAlignment="1">
      <alignment horizontal="right" vertical="center" indent="3"/>
    </xf>
    <xf numFmtId="3" fontId="8" fillId="0" borderId="67" xfId="5" applyNumberFormat="1" applyFont="1" applyFill="1" applyBorder="1" applyAlignment="1">
      <alignment horizontal="right" vertical="center" indent="3"/>
    </xf>
    <xf numFmtId="3" fontId="8" fillId="0" borderId="4" xfId="5" applyNumberFormat="1" applyFont="1" applyFill="1" applyBorder="1" applyAlignment="1">
      <alignment horizontal="right" vertical="center" indent="3"/>
    </xf>
    <xf numFmtId="4" fontId="20" fillId="0" borderId="66" xfId="2" applyNumberFormat="1" applyFont="1" applyFill="1" applyBorder="1" applyAlignment="1">
      <alignment horizontal="right" vertical="center" indent="3"/>
    </xf>
    <xf numFmtId="3" fontId="20" fillId="0" borderId="67" xfId="5" applyNumberFormat="1" applyFont="1" applyBorder="1" applyAlignment="1">
      <alignment horizontal="right" vertical="center" indent="3"/>
    </xf>
    <xf numFmtId="3" fontId="20" fillId="0" borderId="4" xfId="5" applyNumberFormat="1" applyFont="1" applyBorder="1" applyAlignment="1">
      <alignment horizontal="right" vertical="center" indent="3"/>
    </xf>
    <xf numFmtId="4" fontId="20" fillId="10" borderId="66" xfId="2" applyNumberFormat="1" applyFont="1" applyFill="1" applyBorder="1" applyAlignment="1">
      <alignment horizontal="right" vertical="center" indent="3"/>
    </xf>
    <xf numFmtId="3" fontId="20" fillId="10" borderId="67" xfId="5" applyNumberFormat="1" applyFont="1" applyFill="1" applyBorder="1" applyAlignment="1">
      <alignment horizontal="right" vertical="center" indent="3"/>
    </xf>
    <xf numFmtId="3" fontId="20" fillId="10" borderId="4" xfId="5" applyNumberFormat="1" applyFont="1" applyFill="1" applyBorder="1" applyAlignment="1">
      <alignment horizontal="right" vertical="center" indent="3"/>
    </xf>
    <xf numFmtId="4" fontId="8" fillId="0" borderId="66" xfId="2" applyNumberFormat="1" applyFont="1" applyFill="1" applyBorder="1" applyAlignment="1">
      <alignment horizontal="right" vertical="center" indent="3"/>
    </xf>
    <xf numFmtId="3" fontId="8" fillId="0" borderId="67" xfId="5" applyNumberFormat="1" applyFont="1" applyBorder="1" applyAlignment="1">
      <alignment horizontal="right" vertical="center" indent="3"/>
    </xf>
    <xf numFmtId="3" fontId="8" fillId="0" borderId="4" xfId="5" applyNumberFormat="1" applyFont="1" applyBorder="1" applyAlignment="1">
      <alignment horizontal="right" vertical="center" indent="3"/>
    </xf>
    <xf numFmtId="4" fontId="20" fillId="0" borderId="66" xfId="1" applyNumberFormat="1" applyFont="1" applyBorder="1" applyAlignment="1">
      <alignment horizontal="right" vertical="center" indent="3"/>
    </xf>
    <xf numFmtId="4" fontId="24" fillId="8" borderId="66" xfId="1" applyNumberFormat="1" applyFont="1" applyFill="1" applyBorder="1" applyAlignment="1">
      <alignment horizontal="right" vertical="center" indent="3"/>
    </xf>
    <xf numFmtId="3" fontId="24" fillId="8" borderId="67" xfId="5" applyNumberFormat="1" applyFont="1" applyFill="1" applyBorder="1" applyAlignment="1">
      <alignment horizontal="right" vertical="center" indent="3"/>
    </xf>
    <xf numFmtId="3" fontId="24" fillId="8" borderId="4" xfId="5" applyNumberFormat="1" applyFont="1" applyFill="1" applyBorder="1" applyAlignment="1">
      <alignment horizontal="right" vertical="center" indent="3"/>
    </xf>
    <xf numFmtId="3" fontId="20" fillId="12" borderId="66" xfId="1" applyNumberFormat="1" applyFont="1" applyFill="1" applyBorder="1" applyAlignment="1">
      <alignment horizontal="center" vertical="center"/>
    </xf>
    <xf numFmtId="0" fontId="8" fillId="0" borderId="66" xfId="3" applyFont="1" applyBorder="1" applyAlignment="1">
      <alignment horizontal="right" vertical="center" indent="3"/>
    </xf>
    <xf numFmtId="165" fontId="20" fillId="10" borderId="66" xfId="5" applyNumberFormat="1" applyFont="1" applyFill="1" applyBorder="1" applyAlignment="1">
      <alignment horizontal="right" vertical="center" indent="3"/>
    </xf>
    <xf numFmtId="165" fontId="20" fillId="10" borderId="67" xfId="5" applyNumberFormat="1" applyFont="1" applyFill="1" applyBorder="1" applyAlignment="1">
      <alignment horizontal="right" vertical="center" indent="3"/>
    </xf>
    <xf numFmtId="165" fontId="20" fillId="10" borderId="4" xfId="5" applyNumberFormat="1" applyFont="1" applyFill="1" applyBorder="1" applyAlignment="1">
      <alignment horizontal="right" vertical="center" indent="3"/>
    </xf>
    <xf numFmtId="165" fontId="8" fillId="0" borderId="67" xfId="5" applyNumberFormat="1" applyFont="1" applyBorder="1" applyAlignment="1">
      <alignment horizontal="right" vertical="center" indent="3"/>
    </xf>
    <xf numFmtId="165" fontId="8" fillId="0" borderId="4" xfId="5" applyNumberFormat="1" applyFont="1" applyBorder="1" applyAlignment="1">
      <alignment horizontal="right" vertical="center" indent="3"/>
    </xf>
    <xf numFmtId="3" fontId="20" fillId="12" borderId="67" xfId="5" applyNumberFormat="1" applyFont="1" applyFill="1" applyBorder="1" applyAlignment="1">
      <alignment horizontal="center" vertical="center"/>
    </xf>
    <xf numFmtId="164" fontId="20" fillId="0" borderId="66" xfId="1" applyNumberFormat="1" applyFont="1" applyFill="1" applyBorder="1" applyAlignment="1">
      <alignment horizontal="center" vertical="center"/>
    </xf>
    <xf numFmtId="164" fontId="20" fillId="0" borderId="67" xfId="5" applyNumberFormat="1" applyFont="1" applyFill="1" applyBorder="1" applyAlignment="1">
      <alignment horizontal="center" vertical="center"/>
    </xf>
    <xf numFmtId="3" fontId="20" fillId="0" borderId="4" xfId="5" applyNumberFormat="1" applyFont="1" applyFill="1" applyBorder="1" applyAlignment="1">
      <alignment horizontal="center" vertical="center"/>
    </xf>
    <xf numFmtId="164" fontId="8" fillId="0" borderId="67" xfId="5" applyNumberFormat="1" applyFont="1" applyFill="1" applyBorder="1" applyAlignment="1">
      <alignment horizontal="center" vertical="center"/>
    </xf>
    <xf numFmtId="4" fontId="8" fillId="0" borderId="66" xfId="1" applyNumberFormat="1" applyFont="1" applyFill="1" applyBorder="1" applyAlignment="1">
      <alignment horizontal="right" vertical="center" indent="3"/>
    </xf>
    <xf numFmtId="0" fontId="0" fillId="0" borderId="66" xfId="0" applyFont="1" applyFill="1" applyBorder="1" applyAlignment="1">
      <alignment vertical="center"/>
    </xf>
    <xf numFmtId="0" fontId="0" fillId="0" borderId="67" xfId="0" applyFont="1" applyFill="1" applyBorder="1" applyAlignment="1">
      <alignment vertical="center"/>
    </xf>
    <xf numFmtId="0" fontId="0" fillId="0" borderId="4" xfId="0" applyFont="1" applyFill="1" applyBorder="1" applyAlignment="1">
      <alignment vertical="center"/>
    </xf>
    <xf numFmtId="4" fontId="20" fillId="10" borderId="66" xfId="1" applyNumberFormat="1" applyFont="1" applyFill="1" applyBorder="1" applyAlignment="1">
      <alignment horizontal="right" vertical="center" indent="3"/>
    </xf>
    <xf numFmtId="4" fontId="20" fillId="0" borderId="66" xfId="1" applyNumberFormat="1" applyFont="1" applyFill="1" applyBorder="1" applyAlignment="1">
      <alignment horizontal="right" vertical="center" indent="3"/>
    </xf>
    <xf numFmtId="3" fontId="20" fillId="9" borderId="66" xfId="1" applyNumberFormat="1" applyFont="1" applyFill="1" applyBorder="1" applyAlignment="1">
      <alignment horizontal="center" vertical="center"/>
    </xf>
    <xf numFmtId="165" fontId="20" fillId="0" borderId="66" xfId="5" applyNumberFormat="1" applyFont="1" applyFill="1" applyBorder="1" applyAlignment="1">
      <alignment horizontal="right" vertical="center" indent="3"/>
    </xf>
    <xf numFmtId="165" fontId="20" fillId="0" borderId="67" xfId="5" applyNumberFormat="1" applyFont="1" applyFill="1" applyBorder="1" applyAlignment="1">
      <alignment horizontal="right" vertical="center" indent="3"/>
    </xf>
    <xf numFmtId="165" fontId="8" fillId="0" borderId="4" xfId="5" applyNumberFormat="1" applyFont="1" applyFill="1" applyBorder="1" applyAlignment="1">
      <alignment horizontal="right" vertical="center" indent="3"/>
    </xf>
    <xf numFmtId="4" fontId="24" fillId="8" borderId="66" xfId="2" applyNumberFormat="1" applyFont="1" applyFill="1" applyBorder="1" applyAlignment="1">
      <alignment horizontal="right" vertical="center" indent="3"/>
    </xf>
    <xf numFmtId="3" fontId="20" fillId="8" borderId="66" xfId="5" applyNumberFormat="1" applyFont="1" applyFill="1" applyBorder="1" applyAlignment="1">
      <alignment horizontal="right" vertical="center" indent="3"/>
    </xf>
    <xf numFmtId="3" fontId="20" fillId="8" borderId="67" xfId="5" applyNumberFormat="1" applyFont="1" applyFill="1" applyBorder="1" applyAlignment="1">
      <alignment horizontal="right" vertical="center" indent="3"/>
    </xf>
    <xf numFmtId="3" fontId="20" fillId="8" borderId="4" xfId="5" applyNumberFormat="1" applyFont="1" applyFill="1" applyBorder="1" applyAlignment="1">
      <alignment horizontal="right" vertical="center" indent="3"/>
    </xf>
    <xf numFmtId="3" fontId="8" fillId="0" borderId="62" xfId="5" applyNumberFormat="1" applyFont="1" applyFill="1" applyBorder="1" applyAlignment="1">
      <alignment horizontal="right" vertical="center" indent="3"/>
    </xf>
    <xf numFmtId="3" fontId="8" fillId="0" borderId="63" xfId="5" applyNumberFormat="1" applyFont="1" applyFill="1" applyBorder="1" applyAlignment="1">
      <alignment horizontal="right" vertical="center" indent="3"/>
    </xf>
    <xf numFmtId="3" fontId="20" fillId="0" borderId="64" xfId="5" applyNumberFormat="1" applyFont="1" applyBorder="1" applyAlignment="1">
      <alignment horizontal="right" vertical="center" indent="3"/>
    </xf>
    <xf numFmtId="3" fontId="20" fillId="4" borderId="68" xfId="3" applyNumberFormat="1" applyFont="1" applyFill="1" applyBorder="1" applyAlignment="1">
      <alignment horizontal="right" vertical="center" indent="3"/>
    </xf>
    <xf numFmtId="3" fontId="20" fillId="4" borderId="69" xfId="3" applyNumberFormat="1" applyFont="1" applyFill="1" applyBorder="1" applyAlignment="1">
      <alignment horizontal="right" vertical="center" indent="3"/>
    </xf>
    <xf numFmtId="3" fontId="20" fillId="4" borderId="5" xfId="3" applyNumberFormat="1" applyFont="1" applyFill="1" applyBorder="1" applyAlignment="1">
      <alignment horizontal="right" vertical="center" indent="3"/>
    </xf>
    <xf numFmtId="3" fontId="8" fillId="12" borderId="66" xfId="2" applyNumberFormat="1" applyFont="1" applyFill="1" applyBorder="1" applyAlignment="1">
      <alignment horizontal="center" vertical="center"/>
    </xf>
    <xf numFmtId="3" fontId="8" fillId="12" borderId="67" xfId="5" applyNumberFormat="1" applyFont="1" applyFill="1" applyBorder="1" applyAlignment="1">
      <alignment horizontal="center" vertical="center"/>
    </xf>
    <xf numFmtId="3" fontId="8" fillId="12" borderId="4" xfId="5" applyNumberFormat="1" applyFont="1" applyFill="1" applyBorder="1" applyAlignment="1">
      <alignment horizontal="center" vertical="center"/>
    </xf>
    <xf numFmtId="3" fontId="8" fillId="12" borderId="66" xfId="1" applyNumberFormat="1" applyFont="1" applyFill="1" applyBorder="1" applyAlignment="1">
      <alignment horizontal="center" vertical="center"/>
    </xf>
    <xf numFmtId="3" fontId="20" fillId="9" borderId="67" xfId="1" applyNumberFormat="1" applyFont="1" applyFill="1" applyBorder="1" applyAlignment="1">
      <alignment horizontal="center" vertical="center"/>
    </xf>
    <xf numFmtId="3" fontId="20" fillId="9" borderId="4" xfId="1" applyNumberFormat="1" applyFont="1" applyFill="1" applyBorder="1" applyAlignment="1">
      <alignment horizontal="center" vertical="center"/>
    </xf>
    <xf numFmtId="0" fontId="21" fillId="3" borderId="53" xfId="3" applyFont="1" applyFill="1" applyBorder="1" applyAlignment="1">
      <alignment horizontal="center" vertical="center"/>
    </xf>
    <xf numFmtId="0" fontId="21" fillId="3" borderId="63" xfId="3" applyFont="1" applyFill="1" applyBorder="1" applyAlignment="1">
      <alignment vertical="center"/>
    </xf>
    <xf numFmtId="0" fontId="15" fillId="8" borderId="56" xfId="4" applyFont="1" applyFill="1" applyBorder="1" applyAlignment="1" applyProtection="1">
      <alignment vertical="center"/>
    </xf>
    <xf numFmtId="0" fontId="11" fillId="8" borderId="67" xfId="3" applyFont="1" applyFill="1" applyBorder="1" applyAlignment="1">
      <alignment vertical="center"/>
    </xf>
    <xf numFmtId="0" fontId="20" fillId="9" borderId="67" xfId="3" applyFont="1" applyFill="1" applyBorder="1" applyAlignment="1">
      <alignment vertical="center"/>
    </xf>
    <xf numFmtId="0" fontId="8" fillId="0" borderId="67" xfId="3" applyFont="1" applyFill="1" applyBorder="1" applyAlignment="1">
      <alignment vertical="center"/>
    </xf>
    <xf numFmtId="0" fontId="20" fillId="9" borderId="67" xfId="4" applyFont="1" applyFill="1" applyBorder="1" applyAlignment="1" applyProtection="1">
      <alignment vertical="center"/>
    </xf>
    <xf numFmtId="0" fontId="20" fillId="0" borderId="67" xfId="3" applyFont="1" applyFill="1" applyBorder="1" applyAlignment="1">
      <alignment vertical="center"/>
    </xf>
    <xf numFmtId="0" fontId="8" fillId="0" borderId="67" xfId="4" applyFont="1" applyFill="1" applyBorder="1" applyAlignment="1" applyProtection="1">
      <alignment horizontal="left" vertical="center" indent="3"/>
    </xf>
    <xf numFmtId="0" fontId="8" fillId="0" borderId="56" xfId="3" applyFont="1" applyFill="1" applyBorder="1" applyAlignment="1">
      <alignment horizontal="center" vertical="center"/>
    </xf>
    <xf numFmtId="0" fontId="8" fillId="0" borderId="67" xfId="3" applyFont="1" applyFill="1" applyBorder="1" applyAlignment="1">
      <alignment horizontal="left" vertical="center" indent="3"/>
    </xf>
    <xf numFmtId="0" fontId="20" fillId="0" borderId="67" xfId="4" applyFont="1" applyFill="1" applyBorder="1" applyAlignment="1" applyProtection="1">
      <alignment vertical="center"/>
    </xf>
    <xf numFmtId="0" fontId="8" fillId="0" borderId="56" xfId="3" applyFont="1" applyBorder="1" applyAlignment="1">
      <alignment horizontal="center" vertical="center"/>
    </xf>
    <xf numFmtId="0" fontId="0" fillId="0" borderId="67" xfId="0" applyFont="1" applyBorder="1" applyAlignment="1">
      <alignment horizontal="left" vertical="center" indent="3"/>
    </xf>
    <xf numFmtId="0" fontId="8" fillId="0" borderId="56" xfId="4" applyFont="1" applyFill="1" applyBorder="1" applyAlignment="1" applyProtection="1">
      <alignment horizontal="center" vertical="center"/>
    </xf>
    <xf numFmtId="0" fontId="24" fillId="10" borderId="67" xfId="3" applyFont="1" applyFill="1" applyBorder="1" applyAlignment="1">
      <alignment vertical="center"/>
    </xf>
    <xf numFmtId="0" fontId="23" fillId="0" borderId="67" xfId="3" applyFont="1" applyFill="1" applyBorder="1" applyAlignment="1">
      <alignment vertical="center"/>
    </xf>
    <xf numFmtId="0" fontId="8" fillId="12" borderId="67" xfId="4" applyFont="1" applyFill="1" applyBorder="1" applyAlignment="1" applyProtection="1">
      <alignment horizontal="left" vertical="center" indent="3"/>
    </xf>
    <xf numFmtId="0" fontId="8" fillId="0" borderId="67" xfId="4" applyFont="1" applyFill="1" applyBorder="1" applyAlignment="1" applyProtection="1">
      <alignment vertical="center"/>
    </xf>
    <xf numFmtId="0" fontId="0" fillId="0" borderId="67" xfId="0" applyFont="1" applyFill="1" applyBorder="1" applyAlignment="1">
      <alignment horizontal="left" vertical="center" indent="3"/>
    </xf>
    <xf numFmtId="0" fontId="29" fillId="0" borderId="67" xfId="3" applyFont="1" applyFill="1" applyBorder="1" applyAlignment="1">
      <alignment vertical="center"/>
    </xf>
    <xf numFmtId="0" fontId="0" fillId="0" borderId="56" xfId="0" applyFont="1" applyFill="1" applyBorder="1" applyAlignment="1">
      <alignment horizontal="center" vertical="center"/>
    </xf>
    <xf numFmtId="0" fontId="15" fillId="8" borderId="56" xfId="3" applyFont="1" applyFill="1" applyBorder="1" applyAlignment="1">
      <alignment vertical="center"/>
    </xf>
    <xf numFmtId="0" fontId="0" fillId="0" borderId="67" xfId="0" applyFont="1" applyFill="1" applyBorder="1" applyAlignment="1">
      <alignment horizontal="left" vertical="center" wrapText="1" indent="3"/>
    </xf>
    <xf numFmtId="0" fontId="8" fillId="8" borderId="0" xfId="0" applyNumberFormat="1" applyFont="1" applyFill="1" applyBorder="1" applyAlignment="1">
      <alignment vertical="center"/>
    </xf>
    <xf numFmtId="0" fontId="29" fillId="8" borderId="0" xfId="0" applyFont="1" applyFill="1" applyBorder="1" applyAlignment="1">
      <alignment vertical="center"/>
    </xf>
    <xf numFmtId="3" fontId="20" fillId="17" borderId="0" xfId="3" applyNumberFormat="1" applyFont="1" applyFill="1" applyBorder="1" applyAlignment="1">
      <alignment horizontal="right" vertical="center" indent="3"/>
    </xf>
    <xf numFmtId="0" fontId="19" fillId="3" borderId="5" xfId="3" applyFont="1" applyFill="1" applyBorder="1" applyAlignment="1">
      <alignment horizontal="center" vertical="center" wrapText="1"/>
    </xf>
    <xf numFmtId="0" fontId="19" fillId="6" borderId="79" xfId="3" applyFont="1" applyFill="1" applyBorder="1" applyAlignment="1">
      <alignment horizontal="center" vertical="center" wrapText="1"/>
    </xf>
    <xf numFmtId="165" fontId="20" fillId="0" borderId="67" xfId="5" applyNumberFormat="1" applyFont="1" applyBorder="1" applyAlignment="1">
      <alignment horizontal="right" vertical="center" indent="3"/>
    </xf>
    <xf numFmtId="165" fontId="20" fillId="0" borderId="4" xfId="5" applyNumberFormat="1" applyFont="1" applyBorder="1" applyAlignment="1">
      <alignment horizontal="right" vertical="center" indent="3"/>
    </xf>
    <xf numFmtId="0" fontId="33" fillId="0" borderId="56" xfId="0" applyFont="1" applyFill="1" applyBorder="1" applyAlignment="1">
      <alignment horizontal="center" vertical="center"/>
    </xf>
    <xf numFmtId="0" fontId="29" fillId="8" borderId="67" xfId="3" applyFont="1" applyFill="1" applyBorder="1" applyAlignment="1">
      <alignment vertical="center"/>
    </xf>
    <xf numFmtId="0" fontId="31" fillId="8" borderId="57" xfId="4" applyFont="1" applyFill="1" applyBorder="1" applyAlignment="1" applyProtection="1">
      <alignment horizontal="center" vertical="center"/>
    </xf>
    <xf numFmtId="0" fontId="8" fillId="0" borderId="0" xfId="3" applyFont="1" applyBorder="1" applyAlignment="1">
      <alignment vertical="center"/>
    </xf>
    <xf numFmtId="165" fontId="0" fillId="0" borderId="4" xfId="0" applyNumberFormat="1" applyFont="1" applyFill="1" applyBorder="1" applyAlignment="1">
      <alignment vertical="center"/>
    </xf>
    <xf numFmtId="165" fontId="0" fillId="0" borderId="66" xfId="0" applyNumberFormat="1" applyFont="1" applyFill="1" applyBorder="1" applyAlignment="1">
      <alignment horizontal="right" vertical="center" indent="3"/>
    </xf>
    <xf numFmtId="0" fontId="21" fillId="3" borderId="72" xfId="3" applyFont="1" applyFill="1" applyBorder="1" applyAlignment="1">
      <alignment horizontal="center" vertical="center"/>
    </xf>
    <xf numFmtId="4" fontId="11" fillId="8" borderId="58" xfId="3" applyNumberFormat="1" applyFont="1" applyFill="1" applyBorder="1" applyAlignment="1">
      <alignment vertical="center"/>
    </xf>
    <xf numFmtId="9" fontId="8" fillId="9" borderId="58" xfId="6" applyFont="1" applyFill="1" applyBorder="1" applyAlignment="1">
      <alignment horizontal="center" vertical="center"/>
    </xf>
    <xf numFmtId="3" fontId="20" fillId="0" borderId="58" xfId="5" applyNumberFormat="1" applyFont="1" applyFill="1" applyBorder="1" applyAlignment="1">
      <alignment horizontal="right" vertical="center" indent="3"/>
    </xf>
    <xf numFmtId="3" fontId="8" fillId="0" borderId="58" xfId="5" applyNumberFormat="1" applyFont="1" applyFill="1" applyBorder="1" applyAlignment="1">
      <alignment horizontal="right" vertical="center" indent="3"/>
    </xf>
    <xf numFmtId="4" fontId="20" fillId="0" borderId="58" xfId="2" applyNumberFormat="1" applyFont="1" applyFill="1" applyBorder="1" applyAlignment="1">
      <alignment horizontal="right" vertical="center" indent="3"/>
    </xf>
    <xf numFmtId="4" fontId="20" fillId="10" borderId="58" xfId="2" applyNumberFormat="1" applyFont="1" applyFill="1" applyBorder="1" applyAlignment="1">
      <alignment horizontal="right" vertical="center" indent="3"/>
    </xf>
    <xf numFmtId="4" fontId="8" fillId="0" borderId="58" xfId="2" applyNumberFormat="1" applyFont="1" applyFill="1" applyBorder="1" applyAlignment="1">
      <alignment horizontal="right" vertical="center" indent="3"/>
    </xf>
    <xf numFmtId="4" fontId="20" fillId="0" borderId="58" xfId="1" applyNumberFormat="1" applyFont="1" applyBorder="1" applyAlignment="1">
      <alignment horizontal="right" vertical="center" indent="3"/>
    </xf>
    <xf numFmtId="4" fontId="24" fillId="8" borderId="58" xfId="1" applyNumberFormat="1" applyFont="1" applyFill="1" applyBorder="1" applyAlignment="1">
      <alignment horizontal="right" vertical="center" indent="3"/>
    </xf>
    <xf numFmtId="3" fontId="20" fillId="12" borderId="58" xfId="1" applyNumberFormat="1" applyFont="1" applyFill="1" applyBorder="1" applyAlignment="1">
      <alignment horizontal="center" vertical="center"/>
    </xf>
    <xf numFmtId="0" fontId="20" fillId="0" borderId="58" xfId="3" applyFont="1" applyBorder="1" applyAlignment="1">
      <alignment horizontal="right" vertical="center" indent="3"/>
    </xf>
    <xf numFmtId="165" fontId="20" fillId="10" borderId="58" xfId="5" applyNumberFormat="1" applyFont="1" applyFill="1" applyBorder="1" applyAlignment="1">
      <alignment horizontal="right" vertical="center" indent="3"/>
    </xf>
    <xf numFmtId="164" fontId="20" fillId="0" borderId="58" xfId="1" applyNumberFormat="1" applyFont="1" applyFill="1" applyBorder="1" applyAlignment="1">
      <alignment horizontal="center" vertical="center"/>
    </xf>
    <xf numFmtId="4" fontId="20" fillId="0" borderId="58" xfId="1" applyNumberFormat="1" applyFont="1" applyFill="1" applyBorder="1" applyAlignment="1">
      <alignment horizontal="right" vertical="center" indent="3"/>
    </xf>
    <xf numFmtId="0" fontId="0" fillId="0" borderId="58" xfId="0" applyFont="1" applyFill="1" applyBorder="1" applyAlignment="1">
      <alignment vertical="center"/>
    </xf>
    <xf numFmtId="4" fontId="20" fillId="10" borderId="58" xfId="1" applyNumberFormat="1" applyFont="1" applyFill="1" applyBorder="1" applyAlignment="1">
      <alignment horizontal="right" vertical="center" indent="3"/>
    </xf>
    <xf numFmtId="165" fontId="20" fillId="0" borderId="58" xfId="5" applyNumberFormat="1" applyFont="1" applyFill="1" applyBorder="1" applyAlignment="1">
      <alignment horizontal="right" vertical="center" indent="3"/>
    </xf>
    <xf numFmtId="4" fontId="24" fillId="8" borderId="58" xfId="2" applyNumberFormat="1" applyFont="1" applyFill="1" applyBorder="1" applyAlignment="1">
      <alignment horizontal="right" vertical="center" indent="3"/>
    </xf>
    <xf numFmtId="3" fontId="20" fillId="8" borderId="58" xfId="5" applyNumberFormat="1" applyFont="1" applyFill="1" applyBorder="1" applyAlignment="1">
      <alignment horizontal="right" vertical="center" indent="3"/>
    </xf>
    <xf numFmtId="165" fontId="0" fillId="0" borderId="58" xfId="0" applyNumberFormat="1" applyFont="1" applyFill="1" applyBorder="1" applyAlignment="1">
      <alignment horizontal="right" vertical="center" indent="3"/>
    </xf>
    <xf numFmtId="0" fontId="0" fillId="8" borderId="80" xfId="0" applyFill="1" applyBorder="1">
      <alignment vertical="center" wrapText="1"/>
    </xf>
    <xf numFmtId="0" fontId="0" fillId="8" borderId="0" xfId="0" applyFill="1" applyBorder="1">
      <alignment vertical="center" wrapText="1"/>
    </xf>
    <xf numFmtId="165" fontId="0" fillId="0" borderId="67" xfId="0" applyNumberFormat="1" applyFont="1" applyFill="1" applyBorder="1" applyAlignment="1">
      <alignment horizontal="right" vertical="center" indent="3"/>
    </xf>
    <xf numFmtId="9" fontId="8" fillId="0" borderId="0" xfId="6" applyFont="1" applyFill="1" applyBorder="1" applyAlignment="1">
      <alignment vertical="center"/>
    </xf>
    <xf numFmtId="0" fontId="29" fillId="0" borderId="0" xfId="0" applyFont="1" applyFill="1" applyBorder="1" applyAlignment="1">
      <alignment vertical="center"/>
    </xf>
    <xf numFmtId="3" fontId="20" fillId="9" borderId="58" xfId="1" applyNumberFormat="1" applyFont="1" applyFill="1" applyBorder="1" applyAlignment="1">
      <alignment horizontal="center" vertical="center"/>
    </xf>
    <xf numFmtId="3" fontId="8" fillId="12" borderId="58" xfId="2" applyNumberFormat="1" applyFont="1" applyFill="1" applyBorder="1" applyAlignment="1">
      <alignment horizontal="center" vertical="center"/>
    </xf>
    <xf numFmtId="0" fontId="20" fillId="4" borderId="74" xfId="3" applyFont="1" applyFill="1" applyBorder="1" applyAlignment="1">
      <alignment vertical="center"/>
    </xf>
    <xf numFmtId="169" fontId="40" fillId="8" borderId="74" xfId="1" applyNumberFormat="1" applyFont="1" applyFill="1" applyBorder="1" applyAlignment="1">
      <alignment vertical="center"/>
    </xf>
    <xf numFmtId="169" fontId="40" fillId="8" borderId="69" xfId="1" applyNumberFormat="1" applyFont="1" applyFill="1" applyBorder="1" applyAlignment="1">
      <alignment vertical="center"/>
    </xf>
    <xf numFmtId="9" fontId="41" fillId="8" borderId="5" xfId="3" applyNumberFormat="1" applyFont="1" applyFill="1" applyBorder="1" applyAlignment="1">
      <alignment vertical="center"/>
    </xf>
    <xf numFmtId="0" fontId="42" fillId="0" borderId="0" xfId="3" applyFont="1" applyFill="1" applyAlignment="1">
      <alignment vertical="center"/>
    </xf>
    <xf numFmtId="0" fontId="43" fillId="0" borderId="0" xfId="0" applyFont="1">
      <alignment vertical="center" wrapText="1"/>
    </xf>
    <xf numFmtId="0" fontId="43" fillId="0" borderId="0" xfId="0" applyFont="1" applyAlignment="1">
      <alignment vertical="center"/>
    </xf>
    <xf numFmtId="3" fontId="8" fillId="0" borderId="72" xfId="5" applyNumberFormat="1" applyFont="1" applyFill="1" applyBorder="1" applyAlignment="1">
      <alignment horizontal="right" vertical="center" indent="3"/>
    </xf>
    <xf numFmtId="0" fontId="8" fillId="4" borderId="2" xfId="3" applyFont="1" applyFill="1" applyBorder="1" applyAlignment="1">
      <alignment horizontal="center" vertical="center"/>
    </xf>
    <xf numFmtId="0" fontId="20" fillId="4" borderId="58" xfId="3" applyFont="1" applyFill="1" applyBorder="1" applyAlignment="1">
      <alignment vertical="center"/>
    </xf>
    <xf numFmtId="0" fontId="22" fillId="4" borderId="57" xfId="3" applyFont="1" applyFill="1" applyBorder="1" applyAlignment="1">
      <alignment horizontal="center" vertical="center"/>
    </xf>
    <xf numFmtId="3" fontId="20" fillId="4" borderId="66" xfId="5" applyNumberFormat="1" applyFont="1" applyFill="1" applyBorder="1" applyAlignment="1">
      <alignment horizontal="right" vertical="center" indent="3"/>
    </xf>
    <xf numFmtId="3" fontId="20" fillId="4" borderId="67" xfId="5" applyNumberFormat="1" applyFont="1" applyFill="1" applyBorder="1" applyAlignment="1">
      <alignment horizontal="right" vertical="center" indent="3"/>
    </xf>
    <xf numFmtId="3" fontId="20" fillId="4" borderId="4" xfId="5" applyNumberFormat="1" applyFont="1" applyFill="1" applyBorder="1" applyAlignment="1">
      <alignment horizontal="right" vertical="center" indent="3"/>
    </xf>
    <xf numFmtId="3" fontId="20" fillId="4" borderId="0" xfId="5" applyNumberFormat="1" applyFont="1" applyFill="1" applyBorder="1" applyAlignment="1">
      <alignment horizontal="right" vertical="center" indent="3"/>
    </xf>
    <xf numFmtId="3" fontId="20" fillId="15" borderId="58" xfId="5" applyNumberFormat="1" applyFont="1" applyFill="1" applyBorder="1" applyAlignment="1">
      <alignment horizontal="right" vertical="center" indent="3"/>
    </xf>
    <xf numFmtId="3" fontId="20" fillId="15" borderId="67" xfId="5" applyNumberFormat="1" applyFont="1" applyFill="1" applyBorder="1" applyAlignment="1">
      <alignment horizontal="right" vertical="center" indent="3"/>
    </xf>
    <xf numFmtId="3" fontId="20" fillId="15" borderId="4" xfId="5" applyNumberFormat="1" applyFont="1" applyFill="1" applyBorder="1" applyAlignment="1">
      <alignment horizontal="right" vertical="center" indent="3"/>
    </xf>
    <xf numFmtId="3" fontId="20" fillId="15" borderId="74" xfId="3" applyNumberFormat="1" applyFont="1" applyFill="1" applyBorder="1" applyAlignment="1">
      <alignment horizontal="right" vertical="center" indent="3"/>
    </xf>
    <xf numFmtId="3" fontId="20" fillId="15" borderId="69" xfId="3" applyNumberFormat="1" applyFont="1" applyFill="1" applyBorder="1" applyAlignment="1">
      <alignment horizontal="right" vertical="center" indent="3"/>
    </xf>
    <xf numFmtId="3" fontId="20" fillId="15" borderId="5" xfId="3" applyNumberFormat="1" applyFont="1" applyFill="1" applyBorder="1" applyAlignment="1">
      <alignment horizontal="right" vertical="center" indent="3"/>
    </xf>
    <xf numFmtId="4" fontId="8" fillId="0" borderId="58" xfId="1" applyNumberFormat="1" applyFont="1" applyFill="1" applyBorder="1" applyAlignment="1">
      <alignment horizontal="right" vertical="center" indent="3"/>
    </xf>
    <xf numFmtId="3" fontId="8" fillId="12" borderId="58" xfId="1" applyNumberFormat="1" applyFont="1" applyFill="1" applyBorder="1" applyAlignment="1">
      <alignment horizontal="center" vertical="center"/>
    </xf>
    <xf numFmtId="0" fontId="20" fillId="0" borderId="83" xfId="3" applyFont="1" applyFill="1" applyBorder="1" applyAlignment="1">
      <alignment vertical="center"/>
    </xf>
    <xf numFmtId="0" fontId="22" fillId="0" borderId="84" xfId="3" applyFont="1" applyFill="1" applyBorder="1" applyAlignment="1">
      <alignment horizontal="center" vertical="center"/>
    </xf>
    <xf numFmtId="3" fontId="8" fillId="0" borderId="39" xfId="5" applyNumberFormat="1" applyFont="1" applyFill="1" applyBorder="1" applyAlignment="1">
      <alignment horizontal="right" vertical="center" indent="3"/>
    </xf>
    <xf numFmtId="3" fontId="8" fillId="0" borderId="83" xfId="5" applyNumberFormat="1" applyFont="1" applyFill="1" applyBorder="1" applyAlignment="1">
      <alignment horizontal="right" vertical="center" indent="3"/>
    </xf>
    <xf numFmtId="3" fontId="8" fillId="0" borderId="10" xfId="5" applyNumberFormat="1" applyFont="1" applyFill="1" applyBorder="1" applyAlignment="1">
      <alignment horizontal="right" vertical="center" indent="3"/>
    </xf>
    <xf numFmtId="3" fontId="20" fillId="0" borderId="15" xfId="5" applyNumberFormat="1" applyFont="1" applyFill="1" applyBorder="1" applyAlignment="1">
      <alignment horizontal="right" vertical="center" indent="3"/>
    </xf>
    <xf numFmtId="0" fontId="8" fillId="0" borderId="15" xfId="3" applyFont="1" applyFill="1" applyBorder="1" applyAlignment="1">
      <alignment vertical="center"/>
    </xf>
    <xf numFmtId="0" fontId="29" fillId="0" borderId="15" xfId="0" applyFont="1" applyFill="1" applyBorder="1" applyAlignment="1">
      <alignment vertical="center"/>
    </xf>
    <xf numFmtId="3" fontId="8" fillId="0" borderId="82" xfId="5" applyNumberFormat="1" applyFont="1" applyFill="1" applyBorder="1" applyAlignment="1">
      <alignment horizontal="right" vertical="center" indent="3"/>
    </xf>
    <xf numFmtId="0" fontId="8" fillId="0" borderId="85" xfId="3" applyFont="1" applyFill="1" applyBorder="1" applyAlignment="1">
      <alignment horizontal="center" vertical="center"/>
    </xf>
    <xf numFmtId="0" fontId="8" fillId="0" borderId="83" xfId="3" applyFont="1" applyFill="1" applyBorder="1" applyAlignment="1">
      <alignment horizontal="left" vertical="center" indent="3"/>
    </xf>
    <xf numFmtId="0" fontId="22" fillId="0" borderId="84" xfId="3" applyFont="1" applyBorder="1" applyAlignment="1">
      <alignment horizontal="center" vertical="center"/>
    </xf>
    <xf numFmtId="1" fontId="0" fillId="0" borderId="39" xfId="0" applyNumberFormat="1" applyFont="1" applyFill="1" applyBorder="1" applyAlignment="1">
      <alignment horizontal="right" vertical="center" indent="3"/>
    </xf>
    <xf numFmtId="9" fontId="20" fillId="0" borderId="15" xfId="6" applyFont="1" applyFill="1" applyBorder="1" applyAlignment="1">
      <alignment horizontal="right" vertical="center" indent="3"/>
    </xf>
    <xf numFmtId="9" fontId="8" fillId="0" borderId="15" xfId="6" applyFont="1" applyFill="1" applyBorder="1" applyAlignment="1">
      <alignment vertical="center"/>
    </xf>
    <xf numFmtId="0" fontId="29" fillId="0" borderId="15" xfId="0" applyFont="1" applyBorder="1" applyAlignment="1">
      <alignment vertical="center"/>
    </xf>
    <xf numFmtId="1" fontId="0" fillId="0" borderId="82" xfId="0" applyNumberFormat="1" applyFont="1" applyFill="1" applyBorder="1" applyAlignment="1">
      <alignment horizontal="right" vertical="center" indent="3"/>
    </xf>
    <xf numFmtId="0" fontId="8" fillId="0" borderId="85" xfId="4" applyFont="1" applyFill="1" applyBorder="1" applyAlignment="1" applyProtection="1">
      <alignment horizontal="center" vertical="center"/>
    </xf>
    <xf numFmtId="0" fontId="0" fillId="0" borderId="83" xfId="0" applyFont="1" applyFill="1" applyBorder="1" applyAlignment="1">
      <alignment horizontal="left" vertical="center" indent="3"/>
    </xf>
    <xf numFmtId="0" fontId="22" fillId="0" borderId="84" xfId="4" applyFont="1" applyFill="1" applyBorder="1" applyAlignment="1" applyProtection="1">
      <alignment horizontal="center" vertical="center"/>
    </xf>
    <xf numFmtId="0" fontId="8" fillId="0" borderId="15" xfId="0" applyFont="1" applyBorder="1" applyAlignment="1">
      <alignment vertical="center"/>
    </xf>
    <xf numFmtId="0" fontId="8" fillId="0" borderId="83" xfId="4" applyFont="1" applyFill="1" applyBorder="1" applyAlignment="1" applyProtection="1">
      <alignment horizontal="left" vertical="center" indent="3"/>
    </xf>
    <xf numFmtId="0" fontId="0" fillId="9" borderId="56" xfId="0" applyFont="1" applyFill="1" applyBorder="1" applyAlignment="1">
      <alignment horizontal="center" vertical="center"/>
    </xf>
    <xf numFmtId="0" fontId="31" fillId="0" borderId="84" xfId="4" applyFont="1" applyFill="1" applyBorder="1" applyAlignment="1" applyProtection="1">
      <alignment horizontal="center" vertical="center"/>
    </xf>
    <xf numFmtId="164" fontId="8" fillId="0" borderId="39" xfId="1" applyNumberFormat="1" applyFont="1" applyFill="1" applyBorder="1" applyAlignment="1">
      <alignment horizontal="center" vertical="center"/>
    </xf>
    <xf numFmtId="3" fontId="20" fillId="0" borderId="15" xfId="5" applyNumberFormat="1" applyFont="1" applyFill="1" applyBorder="1" applyAlignment="1">
      <alignment horizontal="center" vertical="center"/>
    </xf>
    <xf numFmtId="164" fontId="8" fillId="0" borderId="82" xfId="1" applyNumberFormat="1" applyFont="1" applyFill="1" applyBorder="1" applyAlignment="1">
      <alignment horizontal="center" vertical="center"/>
    </xf>
    <xf numFmtId="0" fontId="0" fillId="0" borderId="83" xfId="0" applyFont="1" applyBorder="1" applyAlignment="1">
      <alignment horizontal="left" vertical="center" indent="3"/>
    </xf>
    <xf numFmtId="3" fontId="20" fillId="0" borderId="10" xfId="5" applyNumberFormat="1" applyFont="1" applyFill="1" applyBorder="1" applyAlignment="1">
      <alignment horizontal="right" vertical="center" indent="3"/>
    </xf>
    <xf numFmtId="0" fontId="20" fillId="0" borderId="87" xfId="3" applyFont="1" applyFill="1" applyBorder="1" applyAlignment="1">
      <alignment vertical="center"/>
    </xf>
    <xf numFmtId="0" fontId="31" fillId="0" borderId="88" xfId="4" applyFont="1" applyFill="1" applyBorder="1" applyAlignment="1" applyProtection="1">
      <alignment horizontal="center" vertical="center"/>
    </xf>
    <xf numFmtId="3" fontId="8" fillId="0" borderId="44" xfId="5" applyNumberFormat="1" applyFont="1" applyFill="1" applyBorder="1" applyAlignment="1">
      <alignment horizontal="right" vertical="center" indent="3"/>
    </xf>
    <xf numFmtId="3" fontId="8" fillId="0" borderId="87" xfId="5" applyNumberFormat="1" applyFont="1" applyFill="1" applyBorder="1" applyAlignment="1">
      <alignment horizontal="right" vertical="center" indent="3"/>
    </xf>
    <xf numFmtId="3" fontId="8" fillId="0" borderId="9" xfId="5" applyNumberFormat="1" applyFont="1" applyFill="1" applyBorder="1" applyAlignment="1">
      <alignment horizontal="right" vertical="center" indent="3"/>
    </xf>
    <xf numFmtId="9" fontId="20" fillId="0" borderId="42" xfId="6" applyFont="1" applyFill="1" applyBorder="1" applyAlignment="1">
      <alignment horizontal="right" vertical="center" indent="3"/>
    </xf>
    <xf numFmtId="9" fontId="8" fillId="0" borderId="42" xfId="6" applyFont="1" applyFill="1" applyBorder="1" applyAlignment="1">
      <alignment vertical="center"/>
    </xf>
    <xf numFmtId="0" fontId="29" fillId="0" borderId="42" xfId="0" applyFont="1" applyBorder="1" applyAlignment="1">
      <alignment vertical="center"/>
    </xf>
    <xf numFmtId="3" fontId="8" fillId="0" borderId="86" xfId="5" applyNumberFormat="1" applyFont="1" applyFill="1" applyBorder="1" applyAlignment="1">
      <alignment horizontal="right" vertical="center" indent="3"/>
    </xf>
    <xf numFmtId="0" fontId="0" fillId="0" borderId="2" xfId="0" applyFont="1" applyBorder="1" applyAlignment="1" applyProtection="1">
      <alignment vertical="center"/>
    </xf>
    <xf numFmtId="0" fontId="0" fillId="0" borderId="0" xfId="0" applyFont="1" applyBorder="1" applyAlignment="1" applyProtection="1">
      <alignment vertical="center"/>
    </xf>
    <xf numFmtId="0" fontId="0" fillId="0" borderId="0" xfId="0" applyFont="1" applyAlignment="1" applyProtection="1">
      <alignment vertical="center"/>
    </xf>
    <xf numFmtId="0" fontId="14" fillId="6" borderId="31" xfId="0" applyFont="1" applyFill="1" applyBorder="1" applyAlignment="1" applyProtection="1">
      <alignment horizontal="center" vertical="center" wrapText="1"/>
    </xf>
    <xf numFmtId="0" fontId="14" fillId="0" borderId="14" xfId="0" applyFont="1" applyBorder="1" applyAlignment="1" applyProtection="1">
      <alignment horizontal="center" vertical="center"/>
    </xf>
    <xf numFmtId="0" fontId="15" fillId="8" borderId="21" xfId="0" applyFont="1" applyFill="1" applyBorder="1" applyAlignment="1" applyProtection="1">
      <alignment vertical="center"/>
    </xf>
    <xf numFmtId="0" fontId="11" fillId="8" borderId="15" xfId="0" applyFont="1" applyFill="1" applyBorder="1" applyAlignment="1" applyProtection="1">
      <alignment vertical="center"/>
    </xf>
    <xf numFmtId="0" fontId="11" fillId="8" borderId="15" xfId="0" applyFont="1" applyFill="1" applyBorder="1" applyAlignment="1" applyProtection="1">
      <alignment horizontal="left" vertical="center" indent="1"/>
    </xf>
    <xf numFmtId="0" fontId="11" fillId="8" borderId="32" xfId="0" applyFont="1" applyFill="1" applyBorder="1" applyAlignment="1" applyProtection="1">
      <alignment vertical="center"/>
    </xf>
    <xf numFmtId="0" fontId="11" fillId="8" borderId="39" xfId="0" applyFont="1" applyFill="1" applyBorder="1" applyAlignment="1" applyProtection="1">
      <alignment horizontal="center" vertical="center"/>
    </xf>
    <xf numFmtId="0" fontId="11" fillId="8" borderId="10" xfId="0" applyFont="1" applyFill="1" applyBorder="1" applyAlignment="1" applyProtection="1">
      <alignment vertical="center" wrapText="1"/>
    </xf>
    <xf numFmtId="0" fontId="0" fillId="0" borderId="19" xfId="0" applyFont="1" applyBorder="1" applyAlignment="1" applyProtection="1">
      <alignment vertical="center"/>
    </xf>
    <xf numFmtId="0" fontId="0" fillId="3" borderId="13" xfId="0" applyFont="1" applyFill="1" applyBorder="1" applyAlignment="1" applyProtection="1">
      <alignment vertical="center"/>
    </xf>
    <xf numFmtId="0" fontId="0" fillId="0" borderId="13" xfId="0" applyFont="1" applyFill="1" applyBorder="1" applyAlignment="1" applyProtection="1">
      <alignment horizontal="left" vertical="center" indent="1"/>
    </xf>
    <xf numFmtId="0" fontId="0" fillId="0" borderId="33" xfId="0" applyFont="1" applyBorder="1" applyAlignment="1" applyProtection="1">
      <alignment vertical="center"/>
    </xf>
    <xf numFmtId="0" fontId="0" fillId="0" borderId="13" xfId="0" applyFont="1" applyBorder="1" applyAlignment="1" applyProtection="1">
      <alignment horizontal="left" vertical="center" indent="1"/>
    </xf>
    <xf numFmtId="0" fontId="0" fillId="0" borderId="37" xfId="0" applyFont="1" applyBorder="1" applyAlignment="1" applyProtection="1">
      <alignment horizontal="center" vertical="center"/>
    </xf>
    <xf numFmtId="0" fontId="0" fillId="0" borderId="7" xfId="0" applyFont="1" applyBorder="1" applyAlignment="1" applyProtection="1">
      <alignment vertical="center" wrapText="1"/>
    </xf>
    <xf numFmtId="0" fontId="0" fillId="0" borderId="13" xfId="0" applyFont="1" applyFill="1" applyBorder="1" applyAlignment="1" applyProtection="1">
      <alignment horizontal="left" vertical="center" wrapText="1" indent="1"/>
    </xf>
    <xf numFmtId="0" fontId="8" fillId="0" borderId="7" xfId="3" applyFont="1" applyBorder="1" applyAlignment="1" applyProtection="1">
      <alignment vertical="center" wrapText="1"/>
    </xf>
    <xf numFmtId="0" fontId="0" fillId="0" borderId="13" xfId="0" applyFont="1" applyFill="1" applyBorder="1" applyAlignment="1" applyProtection="1">
      <alignment vertical="center"/>
    </xf>
    <xf numFmtId="0" fontId="0" fillId="0" borderId="33" xfId="0" applyFont="1" applyFill="1" applyBorder="1" applyAlignment="1" applyProtection="1">
      <alignment vertical="center"/>
    </xf>
    <xf numFmtId="0" fontId="15" fillId="8" borderId="19" xfId="0" applyFont="1" applyFill="1" applyBorder="1" applyAlignment="1" applyProtection="1">
      <alignment vertical="center"/>
    </xf>
    <xf numFmtId="0" fontId="11" fillId="8" borderId="13" xfId="0" applyFont="1" applyFill="1" applyBorder="1" applyAlignment="1" applyProtection="1">
      <alignment vertical="center"/>
    </xf>
    <xf numFmtId="0" fontId="11" fillId="8" borderId="13" xfId="0" applyFont="1" applyFill="1" applyBorder="1" applyAlignment="1" applyProtection="1">
      <alignment horizontal="left" vertical="center" indent="1"/>
    </xf>
    <xf numFmtId="0" fontId="11" fillId="8" borderId="33" xfId="0" applyFont="1" applyFill="1" applyBorder="1" applyAlignment="1" applyProtection="1">
      <alignment vertical="center"/>
    </xf>
    <xf numFmtId="0" fontId="11" fillId="8" borderId="37" xfId="0" applyFont="1" applyFill="1" applyBorder="1" applyAlignment="1" applyProtection="1">
      <alignment horizontal="center" vertical="center"/>
    </xf>
    <xf numFmtId="0" fontId="11" fillId="8" borderId="7" xfId="0" applyFont="1" applyFill="1" applyBorder="1" applyAlignment="1" applyProtection="1">
      <alignment vertical="center" wrapText="1"/>
    </xf>
    <xf numFmtId="0" fontId="0" fillId="0" borderId="0" xfId="0" applyFont="1" applyFill="1" applyBorder="1" applyAlignment="1" applyProtection="1">
      <alignment vertical="center"/>
    </xf>
    <xf numFmtId="0" fontId="0" fillId="0" borderId="0" xfId="0" applyFont="1" applyFill="1" applyAlignment="1" applyProtection="1">
      <alignment vertical="center"/>
    </xf>
    <xf numFmtId="0" fontId="8" fillId="0" borderId="7" xfId="0" applyFont="1" applyFill="1" applyBorder="1" applyAlignment="1" applyProtection="1">
      <alignment vertical="center" wrapText="1"/>
    </xf>
    <xf numFmtId="0" fontId="0" fillId="0" borderId="2" xfId="0" applyFont="1" applyFill="1" applyBorder="1" applyAlignment="1" applyProtection="1">
      <alignment vertical="center"/>
    </xf>
    <xf numFmtId="0" fontId="0" fillId="0" borderId="0" xfId="0" applyFill="1" applyBorder="1" applyAlignment="1" applyProtection="1">
      <alignment vertical="center"/>
    </xf>
    <xf numFmtId="0" fontId="0" fillId="0" borderId="19" xfId="0" applyFont="1" applyFill="1" applyBorder="1" applyAlignment="1" applyProtection="1">
      <alignment vertical="center"/>
    </xf>
    <xf numFmtId="0" fontId="0" fillId="0" borderId="7" xfId="0" applyFont="1" applyFill="1" applyBorder="1" applyAlignment="1" applyProtection="1">
      <alignment vertical="center" wrapText="1"/>
    </xf>
    <xf numFmtId="0" fontId="0" fillId="0" borderId="19" xfId="0" applyFont="1" applyFill="1" applyBorder="1" applyAlignment="1" applyProtection="1">
      <alignment vertical="center" wrapText="1"/>
    </xf>
    <xf numFmtId="0" fontId="0" fillId="0" borderId="37" xfId="0" applyFont="1" applyFill="1" applyBorder="1" applyAlignment="1" applyProtection="1">
      <alignment horizontal="center" vertical="center"/>
    </xf>
    <xf numFmtId="0" fontId="0" fillId="7" borderId="19" xfId="0" applyFont="1" applyFill="1" applyBorder="1" applyAlignment="1" applyProtection="1">
      <alignment vertical="center"/>
    </xf>
    <xf numFmtId="2" fontId="0" fillId="0" borderId="4" xfId="0" applyNumberFormat="1" applyFont="1" applyFill="1" applyBorder="1" applyAlignment="1" applyProtection="1">
      <alignment horizontal="left" vertical="center" wrapText="1"/>
    </xf>
    <xf numFmtId="0" fontId="0" fillId="0" borderId="0" xfId="0" applyFill="1" applyAlignment="1" applyProtection="1">
      <alignment vertical="center"/>
    </xf>
    <xf numFmtId="0" fontId="0" fillId="0" borderId="19" xfId="0" applyFont="1" applyBorder="1" applyAlignment="1" applyProtection="1">
      <alignment vertical="center" wrapText="1"/>
    </xf>
    <xf numFmtId="0" fontId="0" fillId="0" borderId="19" xfId="0" applyFill="1" applyBorder="1" applyAlignment="1" applyProtection="1">
      <alignment vertical="center"/>
    </xf>
    <xf numFmtId="0" fontId="0" fillId="14" borderId="0" xfId="0" applyFont="1" applyFill="1" applyAlignment="1" applyProtection="1">
      <alignment vertical="center"/>
    </xf>
    <xf numFmtId="0" fontId="0" fillId="14" borderId="0" xfId="0" applyFont="1" applyFill="1" applyBorder="1" applyAlignment="1" applyProtection="1">
      <alignment horizontal="center" vertical="center"/>
    </xf>
    <xf numFmtId="0" fontId="0" fillId="0" borderId="22" xfId="0" applyFont="1" applyBorder="1" applyAlignment="1" applyProtection="1">
      <alignment vertical="center"/>
    </xf>
    <xf numFmtId="0" fontId="0" fillId="6" borderId="13" xfId="0" applyFont="1" applyFill="1" applyBorder="1" applyAlignment="1" applyProtection="1">
      <alignment vertical="center"/>
    </xf>
    <xf numFmtId="0" fontId="0" fillId="0" borderId="16" xfId="0" applyFont="1" applyFill="1" applyBorder="1" applyAlignment="1" applyProtection="1">
      <alignment horizontal="left" vertical="center" indent="1"/>
    </xf>
    <xf numFmtId="0" fontId="0" fillId="0" borderId="40" xfId="0" applyFont="1" applyBorder="1" applyAlignment="1" applyProtection="1">
      <alignment horizontal="center" vertical="center"/>
    </xf>
    <xf numFmtId="168" fontId="0" fillId="3" borderId="16" xfId="6" applyNumberFormat="1" applyFont="1" applyFill="1" applyBorder="1" applyAlignment="1" applyProtection="1">
      <alignment vertical="center"/>
    </xf>
    <xf numFmtId="168" fontId="0" fillId="6" borderId="16" xfId="6" applyNumberFormat="1" applyFont="1" applyFill="1" applyBorder="1" applyAlignment="1" applyProtection="1">
      <alignment vertical="center"/>
    </xf>
    <xf numFmtId="9" fontId="0" fillId="3" borderId="16" xfId="6" applyFont="1" applyFill="1" applyBorder="1" applyAlignment="1" applyProtection="1">
      <alignment vertical="center"/>
    </xf>
    <xf numFmtId="9" fontId="0" fillId="6" borderId="16" xfId="6" applyFont="1" applyFill="1" applyBorder="1" applyAlignment="1" applyProtection="1">
      <alignment vertical="center"/>
    </xf>
    <xf numFmtId="0" fontId="0" fillId="0" borderId="21" xfId="0" applyFont="1" applyFill="1" applyBorder="1" applyAlignment="1" applyProtection="1">
      <alignment vertical="center"/>
    </xf>
    <xf numFmtId="0" fontId="0" fillId="0" borderId="15" xfId="0" applyFont="1" applyBorder="1" applyAlignment="1" applyProtection="1">
      <alignment horizontal="left" vertical="center" indent="1"/>
    </xf>
    <xf numFmtId="0" fontId="0" fillId="0" borderId="39" xfId="0" applyFont="1" applyBorder="1" applyAlignment="1" applyProtection="1">
      <alignment horizontal="center" vertical="center"/>
    </xf>
    <xf numFmtId="0" fontId="0" fillId="0" borderId="10" xfId="0" applyFont="1" applyBorder="1" applyAlignment="1" applyProtection="1">
      <alignment vertical="center" wrapText="1"/>
    </xf>
    <xf numFmtId="1" fontId="0" fillId="0" borderId="0" xfId="0" applyNumberFormat="1" applyFont="1" applyBorder="1" applyAlignment="1" applyProtection="1">
      <alignment vertical="center"/>
    </xf>
    <xf numFmtId="0" fontId="0" fillId="0" borderId="0" xfId="0" applyNumberFormat="1" applyFont="1" applyBorder="1" applyAlignment="1" applyProtection="1">
      <alignment vertical="center"/>
    </xf>
    <xf numFmtId="0" fontId="0" fillId="0" borderId="7" xfId="0" applyFill="1" applyBorder="1" applyAlignment="1" applyProtection="1">
      <alignment vertical="center" wrapText="1"/>
    </xf>
    <xf numFmtId="0" fontId="14" fillId="0" borderId="19" xfId="0" applyFont="1" applyBorder="1" applyAlignment="1" applyProtection="1">
      <alignment horizontal="left" vertical="center" indent="2"/>
    </xf>
    <xf numFmtId="0" fontId="0" fillId="0" borderId="44" xfId="0" applyFont="1" applyBorder="1" applyAlignment="1" applyProtection="1">
      <alignment horizontal="center" vertical="center"/>
    </xf>
    <xf numFmtId="0" fontId="0" fillId="0" borderId="9" xfId="0" applyFont="1" applyFill="1" applyBorder="1" applyAlignment="1" applyProtection="1">
      <alignment vertical="center" wrapText="1"/>
    </xf>
    <xf numFmtId="0" fontId="14" fillId="11" borderId="45" xfId="0" applyFont="1" applyFill="1" applyBorder="1" applyAlignment="1" applyProtection="1">
      <alignment vertical="center"/>
    </xf>
    <xf numFmtId="166" fontId="0" fillId="11" borderId="46" xfId="1" applyNumberFormat="1" applyFont="1" applyFill="1" applyBorder="1" applyAlignment="1" applyProtection="1">
      <alignment vertical="center"/>
    </xf>
    <xf numFmtId="0" fontId="0" fillId="11" borderId="46" xfId="0" applyFont="1" applyFill="1" applyBorder="1" applyAlignment="1" applyProtection="1">
      <alignment horizontal="left" vertical="center" indent="1"/>
    </xf>
    <xf numFmtId="166" fontId="0" fillId="11" borderId="47" xfId="1" applyNumberFormat="1" applyFont="1" applyFill="1" applyBorder="1" applyAlignment="1" applyProtection="1">
      <alignment vertical="center"/>
    </xf>
    <xf numFmtId="0" fontId="0" fillId="11" borderId="48" xfId="0" applyFont="1" applyFill="1" applyBorder="1" applyAlignment="1" applyProtection="1">
      <alignment horizontal="center" vertical="center"/>
    </xf>
    <xf numFmtId="0" fontId="0" fillId="0" borderId="49" xfId="0" applyFont="1" applyFill="1" applyBorder="1" applyAlignment="1" applyProtection="1">
      <alignment vertical="center" wrapText="1"/>
    </xf>
    <xf numFmtId="0" fontId="0" fillId="11" borderId="19" xfId="0" applyFont="1" applyFill="1" applyBorder="1" applyAlignment="1" applyProtection="1">
      <alignment horizontal="left" vertical="center" indent="3"/>
    </xf>
    <xf numFmtId="0" fontId="0" fillId="11" borderId="13" xfId="0" applyFont="1" applyFill="1" applyBorder="1" applyAlignment="1" applyProtection="1">
      <alignment vertical="center"/>
    </xf>
    <xf numFmtId="0" fontId="0" fillId="11" borderId="41" xfId="0" applyFont="1" applyFill="1" applyBorder="1" applyAlignment="1" applyProtection="1">
      <alignment horizontal="left" vertical="center" indent="3"/>
    </xf>
    <xf numFmtId="0" fontId="0" fillId="5" borderId="37" xfId="0" applyFont="1" applyFill="1" applyBorder="1" applyAlignment="1" applyProtection="1">
      <alignment horizontal="center" vertical="center"/>
    </xf>
    <xf numFmtId="0" fontId="0" fillId="0" borderId="24" xfId="0" applyFont="1" applyBorder="1" applyAlignment="1" applyProtection="1">
      <alignment vertical="center"/>
    </xf>
    <xf numFmtId="0" fontId="0" fillId="0" borderId="17" xfId="0" applyFont="1" applyBorder="1" applyAlignment="1" applyProtection="1">
      <alignment horizontal="left" vertical="center" indent="1"/>
    </xf>
    <xf numFmtId="0" fontId="0" fillId="0" borderId="36" xfId="0" applyFont="1" applyBorder="1" applyAlignment="1" applyProtection="1">
      <alignment horizontal="center" vertical="center"/>
    </xf>
    <xf numFmtId="0" fontId="7" fillId="9" borderId="19" xfId="0" applyFont="1" applyFill="1" applyBorder="1" applyAlignment="1" applyProtection="1">
      <alignment vertical="center"/>
    </xf>
    <xf numFmtId="0" fontId="0" fillId="9" borderId="13" xfId="0" applyFont="1" applyFill="1" applyBorder="1" applyAlignment="1" applyProtection="1">
      <alignment vertical="center"/>
    </xf>
    <xf numFmtId="0" fontId="0" fillId="9" borderId="13" xfId="0" applyFont="1" applyFill="1" applyBorder="1" applyAlignment="1" applyProtection="1">
      <alignment horizontal="left" vertical="center" indent="1"/>
    </xf>
    <xf numFmtId="0" fontId="0" fillId="9" borderId="33" xfId="0" applyFont="1" applyFill="1" applyBorder="1" applyAlignment="1" applyProtection="1">
      <alignment vertical="center"/>
    </xf>
    <xf numFmtId="0" fontId="0" fillId="9" borderId="37" xfId="0" applyFont="1" applyFill="1" applyBorder="1" applyAlignment="1" applyProtection="1">
      <alignment horizontal="center" vertical="center"/>
    </xf>
    <xf numFmtId="0" fontId="0" fillId="9" borderId="7" xfId="0" applyFont="1" applyFill="1" applyBorder="1" applyAlignment="1" applyProtection="1">
      <alignment vertical="center" wrapText="1"/>
    </xf>
    <xf numFmtId="0" fontId="8" fillId="0" borderId="19" xfId="0" applyFont="1" applyBorder="1" applyAlignment="1" applyProtection="1">
      <alignment horizontal="left" vertical="center"/>
    </xf>
    <xf numFmtId="0" fontId="22" fillId="11" borderId="19" xfId="0" applyFont="1" applyFill="1" applyBorder="1" applyAlignment="1" applyProtection="1">
      <alignment horizontal="left" vertical="center"/>
    </xf>
    <xf numFmtId="0" fontId="0" fillId="11" borderId="13" xfId="0" applyFont="1" applyFill="1" applyBorder="1" applyAlignment="1" applyProtection="1">
      <alignment horizontal="left" vertical="center" indent="1"/>
    </xf>
    <xf numFmtId="0" fontId="0" fillId="11" borderId="33" xfId="0" applyFont="1" applyFill="1" applyBorder="1" applyAlignment="1" applyProtection="1">
      <alignment vertical="center"/>
    </xf>
    <xf numFmtId="0" fontId="0" fillId="11" borderId="37" xfId="0" applyFont="1" applyFill="1" applyBorder="1" applyAlignment="1" applyProtection="1">
      <alignment horizontal="center" vertical="center"/>
    </xf>
    <xf numFmtId="0" fontId="0" fillId="0" borderId="19" xfId="0" applyFont="1" applyBorder="1" applyAlignment="1" applyProtection="1">
      <alignment horizontal="left" vertical="center" indent="2"/>
    </xf>
    <xf numFmtId="0" fontId="0" fillId="5" borderId="19" xfId="0" applyFont="1" applyFill="1" applyBorder="1" applyAlignment="1" applyProtection="1">
      <alignment horizontal="left" vertical="center" indent="2"/>
    </xf>
    <xf numFmtId="2" fontId="0" fillId="14" borderId="33" xfId="0" applyNumberFormat="1" applyFont="1" applyFill="1" applyBorder="1" applyAlignment="1" applyProtection="1">
      <alignment vertical="center"/>
    </xf>
    <xf numFmtId="0" fontId="0" fillId="0" borderId="19" xfId="0" applyFont="1" applyFill="1" applyBorder="1" applyAlignment="1" applyProtection="1">
      <alignment horizontal="left" vertical="center" indent="3"/>
    </xf>
    <xf numFmtId="0" fontId="0" fillId="5" borderId="19" xfId="0" applyFont="1" applyFill="1" applyBorder="1" applyAlignment="1" applyProtection="1">
      <alignment horizontal="left" vertical="center" indent="3"/>
    </xf>
    <xf numFmtId="0" fontId="0" fillId="0" borderId="19" xfId="0" applyFont="1" applyBorder="1" applyAlignment="1" applyProtection="1">
      <alignment horizontal="left" vertical="center" indent="3"/>
    </xf>
    <xf numFmtId="0" fontId="0" fillId="5" borderId="19" xfId="0" applyFont="1" applyFill="1" applyBorder="1" applyAlignment="1" applyProtection="1">
      <alignment vertical="center"/>
    </xf>
    <xf numFmtId="0" fontId="0" fillId="5" borderId="13" xfId="0" applyFont="1" applyFill="1" applyBorder="1" applyAlignment="1" applyProtection="1">
      <alignment vertical="center"/>
    </xf>
    <xf numFmtId="0" fontId="0" fillId="9" borderId="19" xfId="0" applyFont="1" applyFill="1" applyBorder="1" applyAlignment="1" applyProtection="1">
      <alignment vertical="center"/>
    </xf>
    <xf numFmtId="0" fontId="0" fillId="7" borderId="19" xfId="0" applyFont="1" applyFill="1" applyBorder="1" applyAlignment="1" applyProtection="1">
      <alignment horizontal="left" vertical="center" indent="2"/>
    </xf>
    <xf numFmtId="2" fontId="0" fillId="7" borderId="13" xfId="0" applyNumberFormat="1" applyFont="1" applyFill="1" applyBorder="1" applyAlignment="1" applyProtection="1">
      <alignment vertical="center"/>
    </xf>
    <xf numFmtId="0" fontId="0" fillId="7" borderId="13" xfId="0" applyFont="1" applyFill="1" applyBorder="1" applyAlignment="1" applyProtection="1">
      <alignment horizontal="left" vertical="center" indent="1"/>
    </xf>
    <xf numFmtId="2" fontId="0" fillId="7" borderId="33" xfId="0" applyNumberFormat="1" applyFont="1" applyFill="1" applyBorder="1" applyAlignment="1" applyProtection="1">
      <alignment vertical="center"/>
    </xf>
    <xf numFmtId="0" fontId="0" fillId="7" borderId="37"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0" fillId="0" borderId="0" xfId="0" applyFont="1" applyAlignment="1" applyProtection="1">
      <alignment vertical="center" wrapText="1"/>
    </xf>
    <xf numFmtId="9" fontId="0" fillId="0" borderId="0" xfId="6" applyFont="1" applyAlignment="1" applyProtection="1">
      <alignment vertical="center"/>
    </xf>
    <xf numFmtId="0" fontId="0" fillId="0" borderId="0" xfId="0" applyFont="1" applyAlignment="1" applyProtection="1">
      <alignment horizontal="left" vertical="center" indent="1"/>
    </xf>
    <xf numFmtId="0" fontId="0" fillId="0" borderId="0" xfId="0" applyFont="1" applyAlignment="1" applyProtection="1">
      <alignment horizontal="center" vertical="center"/>
    </xf>
    <xf numFmtId="9" fontId="0" fillId="0" borderId="0" xfId="0" applyNumberFormat="1" applyFont="1" applyAlignment="1" applyProtection="1">
      <alignment vertical="center"/>
    </xf>
    <xf numFmtId="44" fontId="0" fillId="0" borderId="0" xfId="1" applyFont="1" applyFill="1" applyBorder="1" applyAlignment="1" applyProtection="1">
      <alignment vertical="center"/>
    </xf>
    <xf numFmtId="44" fontId="0" fillId="0" borderId="0" xfId="1" applyFont="1" applyFill="1" applyBorder="1" applyAlignment="1" applyProtection="1">
      <alignment horizontal="left" vertical="center"/>
    </xf>
    <xf numFmtId="0" fontId="13" fillId="0" borderId="0" xfId="0" applyFont="1" applyFill="1" applyBorder="1" applyAlignment="1" applyProtection="1">
      <alignment horizontal="center" vertical="center"/>
    </xf>
    <xf numFmtId="44" fontId="0" fillId="0" borderId="0" xfId="0" applyNumberFormat="1" applyFont="1" applyFill="1" applyBorder="1" applyAlignment="1" applyProtection="1">
      <alignment vertical="center"/>
    </xf>
    <xf numFmtId="0" fontId="0" fillId="0" borderId="33" xfId="0" applyFill="1" applyBorder="1" applyAlignment="1" applyProtection="1">
      <alignment vertical="center"/>
    </xf>
    <xf numFmtId="0" fontId="0" fillId="0" borderId="35" xfId="0" applyFont="1" applyBorder="1" applyAlignment="1" applyProtection="1">
      <alignment vertical="center"/>
    </xf>
    <xf numFmtId="0" fontId="0" fillId="5" borderId="33" xfId="0" applyFont="1" applyFill="1" applyBorder="1" applyAlignment="1" applyProtection="1">
      <alignment vertical="center"/>
    </xf>
    <xf numFmtId="0" fontId="0" fillId="5" borderId="13" xfId="0" applyFont="1" applyFill="1" applyBorder="1" applyAlignment="1" applyProtection="1">
      <alignment horizontal="left" vertical="center" indent="1"/>
    </xf>
    <xf numFmtId="0" fontId="0" fillId="5" borderId="13" xfId="0" applyFont="1" applyFill="1" applyBorder="1" applyAlignment="1" applyProtection="1">
      <alignment horizontal="left" vertical="center" wrapText="1" indent="1"/>
    </xf>
    <xf numFmtId="2" fontId="0" fillId="5" borderId="33" xfId="0" applyNumberFormat="1" applyFont="1" applyFill="1" applyBorder="1" applyAlignment="1" applyProtection="1">
      <alignment vertical="center"/>
    </xf>
    <xf numFmtId="2" fontId="0" fillId="5" borderId="33" xfId="1" applyNumberFormat="1" applyFont="1" applyFill="1" applyBorder="1" applyAlignment="1" applyProtection="1">
      <alignment vertical="center"/>
    </xf>
    <xf numFmtId="2" fontId="0" fillId="5" borderId="13" xfId="0" applyNumberFormat="1" applyFont="1" applyFill="1" applyBorder="1" applyAlignment="1" applyProtection="1">
      <alignment vertical="center"/>
    </xf>
    <xf numFmtId="2" fontId="0" fillId="5" borderId="13" xfId="1" applyNumberFormat="1" applyFont="1" applyFill="1" applyBorder="1" applyAlignment="1" applyProtection="1">
      <alignment vertical="center"/>
    </xf>
    <xf numFmtId="167" fontId="0" fillId="5" borderId="13" xfId="0" applyNumberFormat="1" applyFont="1" applyFill="1" applyBorder="1" applyAlignment="1" applyProtection="1">
      <alignment vertical="center"/>
    </xf>
    <xf numFmtId="44" fontId="0" fillId="5" borderId="13" xfId="1" applyFont="1" applyFill="1" applyBorder="1" applyAlignment="1" applyProtection="1">
      <alignment vertical="center"/>
    </xf>
    <xf numFmtId="167" fontId="0" fillId="5" borderId="33" xfId="0" applyNumberFormat="1" applyFont="1" applyFill="1" applyBorder="1" applyAlignment="1" applyProtection="1">
      <alignment vertical="center"/>
    </xf>
    <xf numFmtId="8" fontId="0" fillId="5" borderId="33" xfId="0" applyNumberFormat="1" applyFont="1" applyFill="1" applyBorder="1" applyAlignment="1" applyProtection="1">
      <alignment vertical="center"/>
    </xf>
    <xf numFmtId="0" fontId="0" fillId="5" borderId="51" xfId="0" applyFont="1" applyFill="1" applyBorder="1" applyAlignment="1" applyProtection="1">
      <alignment horizontal="left" vertical="center" indent="1"/>
    </xf>
    <xf numFmtId="1" fontId="0" fillId="5" borderId="13" xfId="0" applyNumberFormat="1" applyFont="1" applyFill="1" applyBorder="1" applyAlignment="1" applyProtection="1">
      <alignment vertical="center"/>
    </xf>
    <xf numFmtId="0" fontId="0" fillId="5" borderId="33" xfId="0" applyNumberFormat="1" applyFont="1" applyFill="1" applyBorder="1" applyAlignment="1" applyProtection="1">
      <alignment vertical="center"/>
    </xf>
    <xf numFmtId="1" fontId="0" fillId="5" borderId="33" xfId="0" applyNumberFormat="1" applyFont="1" applyFill="1" applyBorder="1" applyAlignment="1" applyProtection="1">
      <alignment vertical="center"/>
    </xf>
    <xf numFmtId="0" fontId="0" fillId="5" borderId="15" xfId="0" applyFont="1" applyFill="1" applyBorder="1" applyAlignment="1" applyProtection="1">
      <alignment horizontal="left" vertical="center" indent="1"/>
    </xf>
    <xf numFmtId="0" fontId="0" fillId="5" borderId="34" xfId="0" applyFont="1" applyFill="1" applyBorder="1" applyAlignment="1" applyProtection="1">
      <alignment vertical="center"/>
    </xf>
    <xf numFmtId="0" fontId="0" fillId="5" borderId="16" xfId="0" applyFont="1" applyFill="1" applyBorder="1" applyAlignment="1" applyProtection="1">
      <alignment horizontal="left" vertical="center" indent="1"/>
    </xf>
    <xf numFmtId="166" fontId="0" fillId="5" borderId="42" xfId="1" applyNumberFormat="1" applyFont="1" applyFill="1" applyBorder="1" applyAlignment="1" applyProtection="1">
      <alignment vertical="center"/>
    </xf>
    <xf numFmtId="0" fontId="0" fillId="5" borderId="42" xfId="0" applyFont="1" applyFill="1" applyBorder="1" applyAlignment="1" applyProtection="1">
      <alignment horizontal="left" vertical="center" indent="1"/>
    </xf>
    <xf numFmtId="166" fontId="0" fillId="5" borderId="43" xfId="1" applyNumberFormat="1" applyFont="1" applyFill="1" applyBorder="1" applyAlignment="1" applyProtection="1">
      <alignment vertical="center"/>
    </xf>
    <xf numFmtId="1" fontId="0" fillId="5" borderId="33" xfId="1" applyNumberFormat="1" applyFont="1" applyFill="1" applyBorder="1" applyAlignment="1" applyProtection="1">
      <alignment vertical="center"/>
    </xf>
    <xf numFmtId="166" fontId="0" fillId="5" borderId="33" xfId="0" applyNumberFormat="1" applyFont="1" applyFill="1" applyBorder="1" applyAlignment="1" applyProtection="1">
      <alignment vertical="center"/>
    </xf>
    <xf numFmtId="0" fontId="0" fillId="5" borderId="32" xfId="0" applyFont="1" applyFill="1" applyBorder="1" applyAlignment="1" applyProtection="1">
      <alignment vertical="center"/>
    </xf>
    <xf numFmtId="0" fontId="0" fillId="5" borderId="35" xfId="0" applyFont="1" applyFill="1" applyBorder="1" applyAlignment="1" applyProtection="1">
      <alignment vertical="center"/>
    </xf>
    <xf numFmtId="0" fontId="0" fillId="5" borderId="17" xfId="0" applyFont="1" applyFill="1" applyBorder="1" applyAlignment="1" applyProtection="1">
      <alignment horizontal="left" vertical="center" indent="1"/>
    </xf>
    <xf numFmtId="2" fontId="0" fillId="5" borderId="90" xfId="1" applyNumberFormat="1" applyFont="1" applyFill="1" applyBorder="1" applyAlignment="1" applyProtection="1">
      <alignment horizontal="right" vertical="center"/>
    </xf>
    <xf numFmtId="2" fontId="0" fillId="5" borderId="13" xfId="1" applyNumberFormat="1" applyFont="1" applyFill="1" applyBorder="1" applyAlignment="1" applyProtection="1">
      <alignment horizontal="right" vertical="center"/>
    </xf>
    <xf numFmtId="2" fontId="0" fillId="5" borderId="91" xfId="1" applyNumberFormat="1" applyFont="1" applyFill="1" applyBorder="1" applyAlignment="1" applyProtection="1">
      <alignment horizontal="right" vertical="center"/>
    </xf>
    <xf numFmtId="0" fontId="0" fillId="5" borderId="92" xfId="0" applyFont="1" applyFill="1" applyBorder="1" applyAlignment="1" applyProtection="1">
      <alignment horizontal="left" vertical="center" indent="1"/>
    </xf>
    <xf numFmtId="2" fontId="0" fillId="5" borderId="17" xfId="1" applyNumberFormat="1" applyFont="1" applyFill="1" applyBorder="1" applyAlignment="1" applyProtection="1">
      <alignment horizontal="right" vertical="center"/>
    </xf>
    <xf numFmtId="0" fontId="0" fillId="0" borderId="0" xfId="0" applyFont="1" applyBorder="1" applyAlignment="1" applyProtection="1">
      <alignment horizontal="left" vertical="center"/>
    </xf>
    <xf numFmtId="0" fontId="0" fillId="16" borderId="0" xfId="0" applyFont="1" applyFill="1" applyBorder="1" applyAlignment="1" applyProtection="1">
      <alignment vertical="center"/>
    </xf>
    <xf numFmtId="0" fontId="0" fillId="16" borderId="0" xfId="0" applyFont="1" applyFill="1" applyAlignment="1" applyProtection="1">
      <alignment vertical="center"/>
    </xf>
    <xf numFmtId="0" fontId="0" fillId="0" borderId="0" xfId="0" applyBorder="1">
      <alignment vertical="center" wrapText="1"/>
    </xf>
    <xf numFmtId="0" fontId="33" fillId="9" borderId="56" xfId="0" applyFont="1" applyFill="1" applyBorder="1" applyAlignment="1">
      <alignment horizontal="center" vertical="center"/>
    </xf>
    <xf numFmtId="0" fontId="8" fillId="0" borderId="0" xfId="0" applyNumberFormat="1" applyFont="1" applyFill="1" applyBorder="1" applyAlignment="1">
      <alignment vertical="center"/>
    </xf>
    <xf numFmtId="0" fontId="0" fillId="0" borderId="85" xfId="0" applyFont="1" applyBorder="1" applyAlignment="1">
      <alignment horizontal="center" vertical="center"/>
    </xf>
    <xf numFmtId="0" fontId="8" fillId="0" borderId="94" xfId="3" applyFont="1" applyFill="1" applyBorder="1" applyAlignment="1">
      <alignment horizontal="center" vertical="center"/>
    </xf>
    <xf numFmtId="0" fontId="29" fillId="8" borderId="56" xfId="3" applyFont="1" applyFill="1" applyBorder="1" applyAlignment="1">
      <alignment horizontal="center" vertical="center"/>
    </xf>
    <xf numFmtId="0" fontId="8" fillId="4" borderId="0" xfId="0" applyFont="1" applyFill="1" applyBorder="1" applyAlignment="1">
      <alignment vertical="center"/>
    </xf>
    <xf numFmtId="0" fontId="29" fillId="4" borderId="0" xfId="0" applyFont="1" applyFill="1" applyBorder="1" applyAlignment="1">
      <alignment vertical="center"/>
    </xf>
    <xf numFmtId="0" fontId="8" fillId="0" borderId="50" xfId="3" applyFont="1" applyFill="1" applyBorder="1" applyAlignment="1">
      <alignment horizontal="center" vertical="center"/>
    </xf>
    <xf numFmtId="0" fontId="8" fillId="17" borderId="0" xfId="0" applyFont="1" applyFill="1" applyBorder="1" applyAlignment="1">
      <alignment vertical="center"/>
    </xf>
    <xf numFmtId="0" fontId="29" fillId="17" borderId="0" xfId="0" applyFont="1" applyFill="1" applyBorder="1" applyAlignment="1">
      <alignment vertical="center"/>
    </xf>
    <xf numFmtId="165" fontId="0" fillId="0" borderId="0" xfId="0" applyNumberFormat="1" applyFont="1" applyFill="1" applyBorder="1" applyAlignment="1">
      <alignment vertical="center"/>
    </xf>
    <xf numFmtId="0" fontId="0" fillId="0" borderId="0" xfId="0" applyFill="1" applyBorder="1">
      <alignment vertical="center" wrapText="1"/>
    </xf>
    <xf numFmtId="0" fontId="41" fillId="8" borderId="52" xfId="3" applyFont="1" applyFill="1" applyBorder="1" applyAlignment="1">
      <alignment horizontal="center" vertical="center"/>
    </xf>
    <xf numFmtId="0" fontId="19" fillId="3" borderId="74" xfId="3" applyFont="1" applyFill="1" applyBorder="1" applyAlignment="1">
      <alignment horizontal="center" vertical="center" wrapText="1"/>
    </xf>
    <xf numFmtId="0" fontId="19" fillId="3" borderId="69" xfId="3" applyFont="1" applyFill="1" applyBorder="1" applyAlignment="1">
      <alignment horizontal="center" vertical="center" wrapText="1"/>
    </xf>
    <xf numFmtId="0" fontId="19" fillId="6" borderId="81" xfId="3" applyFont="1" applyFill="1" applyBorder="1" applyAlignment="1">
      <alignment horizontal="center" vertical="center" wrapText="1"/>
    </xf>
    <xf numFmtId="0" fontId="19" fillId="6" borderId="78" xfId="3" applyFont="1" applyFill="1" applyBorder="1" applyAlignment="1">
      <alignment horizontal="center" vertical="center" wrapText="1"/>
    </xf>
    <xf numFmtId="169" fontId="39" fillId="8" borderId="68" xfId="1" applyNumberFormat="1" applyFont="1" applyFill="1" applyBorder="1" applyAlignment="1">
      <alignment vertical="center"/>
    </xf>
    <xf numFmtId="169" fontId="39" fillId="8" borderId="69" xfId="1" applyNumberFormat="1" applyFont="1" applyFill="1" applyBorder="1" applyAlignment="1">
      <alignment vertical="center"/>
    </xf>
    <xf numFmtId="169" fontId="38" fillId="8" borderId="5" xfId="3" applyNumberFormat="1" applyFont="1" applyFill="1" applyBorder="1" applyAlignment="1">
      <alignment vertical="center"/>
    </xf>
    <xf numFmtId="169" fontId="38" fillId="8" borderId="26" xfId="3" applyNumberFormat="1" applyFont="1" applyFill="1" applyBorder="1" applyAlignment="1">
      <alignment vertical="center"/>
    </xf>
    <xf numFmtId="169" fontId="38" fillId="8" borderId="26" xfId="0" applyNumberFormat="1" applyFont="1" applyFill="1" applyBorder="1">
      <alignment vertical="center" wrapText="1"/>
    </xf>
    <xf numFmtId="0" fontId="16" fillId="0" borderId="0" xfId="0" applyFont="1" applyFill="1" applyBorder="1" applyAlignment="1">
      <alignment vertical="center"/>
    </xf>
    <xf numFmtId="0" fontId="30" fillId="8" borderId="0" xfId="3" applyFont="1" applyFill="1" applyBorder="1" applyAlignment="1">
      <alignment horizontal="center" vertical="center"/>
    </xf>
    <xf numFmtId="0" fontId="8" fillId="0" borderId="52" xfId="4" applyFont="1" applyFill="1" applyBorder="1" applyAlignment="1" applyProtection="1">
      <alignment horizontal="center" vertical="center"/>
    </xf>
    <xf numFmtId="0" fontId="8" fillId="0" borderId="69" xfId="4" applyFont="1" applyFill="1" applyBorder="1" applyAlignment="1" applyProtection="1">
      <alignment vertical="center"/>
    </xf>
    <xf numFmtId="0" fontId="22" fillId="0" borderId="61" xfId="4" applyFont="1" applyFill="1" applyBorder="1" applyAlignment="1" applyProtection="1">
      <alignment horizontal="center" vertical="center"/>
    </xf>
    <xf numFmtId="4" fontId="20" fillId="0" borderId="68" xfId="1" applyNumberFormat="1" applyFont="1" applyBorder="1" applyAlignment="1">
      <alignment horizontal="right" vertical="center" indent="3"/>
    </xf>
    <xf numFmtId="3" fontId="20" fillId="0" borderId="69" xfId="5" applyNumberFormat="1" applyFont="1" applyBorder="1" applyAlignment="1">
      <alignment horizontal="right" vertical="center" indent="3"/>
    </xf>
    <xf numFmtId="3" fontId="20" fillId="0" borderId="5" xfId="5" applyNumberFormat="1" applyFont="1" applyBorder="1" applyAlignment="1">
      <alignment horizontal="right" vertical="center" indent="3"/>
    </xf>
    <xf numFmtId="3" fontId="20" fillId="0" borderId="26" xfId="5" applyNumberFormat="1" applyFont="1" applyFill="1" applyBorder="1" applyAlignment="1">
      <alignment horizontal="right" vertical="center" indent="3"/>
    </xf>
    <xf numFmtId="0" fontId="8" fillId="0" borderId="26" xfId="0" applyFont="1" applyBorder="1" applyAlignment="1">
      <alignment vertical="center"/>
    </xf>
    <xf numFmtId="0" fontId="29" fillId="0" borderId="26" xfId="0" applyFont="1" applyBorder="1" applyAlignment="1">
      <alignment vertical="center"/>
    </xf>
    <xf numFmtId="0" fontId="29" fillId="8" borderId="26" xfId="0" applyFont="1" applyFill="1" applyBorder="1" applyAlignment="1">
      <alignment vertical="center"/>
    </xf>
    <xf numFmtId="4" fontId="20" fillId="0" borderId="74" xfId="1" applyNumberFormat="1" applyFont="1" applyBorder="1" applyAlignment="1">
      <alignment horizontal="right" vertical="center" indent="3"/>
    </xf>
    <xf numFmtId="1" fontId="0" fillId="0" borderId="82" xfId="0" applyNumberFormat="1" applyBorder="1" applyAlignment="1">
      <alignment horizontal="center" vertical="center" wrapText="1"/>
    </xf>
    <xf numFmtId="1" fontId="0" fillId="0" borderId="97" xfId="0" applyNumberFormat="1" applyBorder="1" applyAlignment="1">
      <alignment horizontal="center" vertical="center" wrapText="1"/>
    </xf>
    <xf numFmtId="9" fontId="0" fillId="0" borderId="99" xfId="6" applyFont="1" applyBorder="1" applyAlignment="1">
      <alignment horizontal="center" vertical="center" wrapText="1"/>
    </xf>
    <xf numFmtId="169" fontId="0" fillId="0" borderId="82" xfId="1" applyNumberFormat="1" applyFont="1" applyBorder="1" applyAlignment="1">
      <alignment horizontal="right" vertical="center" wrapText="1" indent="2"/>
    </xf>
    <xf numFmtId="169" fontId="0" fillId="0" borderId="97" xfId="1" applyNumberFormat="1" applyFont="1" applyBorder="1" applyAlignment="1">
      <alignment horizontal="right" vertical="center" wrapText="1" indent="2"/>
    </xf>
    <xf numFmtId="169" fontId="0" fillId="0" borderId="99" xfId="1" applyNumberFormat="1" applyFont="1" applyBorder="1" applyAlignment="1">
      <alignment horizontal="right" vertical="center" wrapText="1" indent="2"/>
    </xf>
    <xf numFmtId="0" fontId="0" fillId="0" borderId="0" xfId="0" applyAlignment="1">
      <alignment vertical="center" wrapText="1"/>
    </xf>
    <xf numFmtId="0" fontId="0" fillId="0" borderId="21" xfId="0" applyBorder="1" applyAlignment="1">
      <alignment vertical="center" wrapText="1"/>
    </xf>
    <xf numFmtId="0" fontId="0" fillId="0" borderId="19" xfId="0" applyBorder="1" applyAlignment="1">
      <alignment vertical="center" wrapText="1"/>
    </xf>
    <xf numFmtId="0" fontId="0" fillId="0" borderId="41" xfId="0" applyBorder="1" applyAlignment="1">
      <alignment vertical="center" wrapText="1"/>
    </xf>
    <xf numFmtId="0" fontId="0" fillId="0" borderId="24" xfId="0" applyBorder="1" applyAlignment="1">
      <alignment vertical="center" wrapText="1"/>
    </xf>
    <xf numFmtId="169" fontId="0" fillId="0" borderId="98" xfId="1" applyNumberFormat="1" applyFont="1" applyBorder="1" applyAlignment="1">
      <alignment horizontal="right" vertical="center" wrapText="1" indent="2"/>
    </xf>
    <xf numFmtId="169" fontId="37" fillId="3" borderId="74" xfId="0" applyNumberFormat="1" applyFont="1" applyFill="1" applyBorder="1" applyAlignment="1">
      <alignment horizontal="right" vertical="center" wrapText="1" indent="2"/>
    </xf>
    <xf numFmtId="169" fontId="37" fillId="3" borderId="5" xfId="1" applyNumberFormat="1" applyFont="1" applyFill="1" applyBorder="1" applyAlignment="1">
      <alignment horizontal="right" vertical="center" wrapText="1" indent="2"/>
    </xf>
    <xf numFmtId="169" fontId="37" fillId="3" borderId="95" xfId="1" applyNumberFormat="1" applyFont="1" applyFill="1" applyBorder="1" applyAlignment="1">
      <alignment horizontal="right" vertical="center" wrapText="1" indent="2"/>
    </xf>
    <xf numFmtId="1" fontId="0" fillId="0" borderId="85" xfId="0" applyNumberFormat="1" applyBorder="1" applyAlignment="1">
      <alignment horizontal="center" vertical="center" wrapText="1"/>
    </xf>
    <xf numFmtId="1" fontId="0" fillId="0" borderId="6" xfId="0" applyNumberFormat="1" applyBorder="1" applyAlignment="1">
      <alignment horizontal="center" vertical="center" wrapText="1"/>
    </xf>
    <xf numFmtId="9" fontId="0" fillId="0" borderId="106" xfId="6" applyFont="1" applyBorder="1" applyAlignment="1">
      <alignment horizontal="center" vertical="center" wrapText="1"/>
    </xf>
    <xf numFmtId="169" fontId="0" fillId="0" borderId="85" xfId="1" applyNumberFormat="1" applyFont="1" applyBorder="1" applyAlignment="1">
      <alignment horizontal="right" vertical="center" wrapText="1" indent="2"/>
    </xf>
    <xf numFmtId="169" fontId="0" fillId="0" borderId="6" xfId="1" applyNumberFormat="1" applyFont="1" applyBorder="1" applyAlignment="1">
      <alignment horizontal="right" vertical="center" wrapText="1" indent="2"/>
    </xf>
    <xf numFmtId="169" fontId="0" fillId="0" borderId="106" xfId="1" applyNumberFormat="1" applyFont="1" applyBorder="1" applyAlignment="1">
      <alignment horizontal="right" vertical="center" wrapText="1" indent="2"/>
    </xf>
    <xf numFmtId="169" fontId="0" fillId="0" borderId="96" xfId="1" applyNumberFormat="1" applyFont="1" applyBorder="1" applyAlignment="1">
      <alignment horizontal="right" vertical="center" wrapText="1" indent="2"/>
    </xf>
    <xf numFmtId="169" fontId="37" fillId="3" borderId="52" xfId="0" applyNumberFormat="1" applyFont="1" applyFill="1" applyBorder="1" applyAlignment="1">
      <alignment horizontal="right" vertical="center" wrapText="1" indent="2"/>
    </xf>
    <xf numFmtId="0" fontId="36" fillId="0" borderId="107" xfId="0" applyFont="1" applyBorder="1" applyAlignment="1">
      <alignment horizontal="center" vertical="center" wrapText="1"/>
    </xf>
    <xf numFmtId="0" fontId="36" fillId="0" borderId="109" xfId="0" applyFont="1" applyBorder="1" applyAlignment="1">
      <alignment horizontal="center" vertical="center" wrapText="1"/>
    </xf>
    <xf numFmtId="0" fontId="6" fillId="4" borderId="108" xfId="0" applyFont="1" applyFill="1" applyBorder="1" applyAlignment="1">
      <alignment horizontal="center" vertical="center" wrapText="1"/>
    </xf>
    <xf numFmtId="0" fontId="0" fillId="4" borderId="104" xfId="0" applyFill="1" applyBorder="1" applyAlignment="1">
      <alignment horizontal="center" vertical="center" wrapText="1"/>
    </xf>
    <xf numFmtId="0" fontId="0" fillId="4" borderId="8" xfId="0" applyFill="1" applyBorder="1" applyAlignment="1">
      <alignment horizontal="center" vertical="center" wrapText="1"/>
    </xf>
    <xf numFmtId="9" fontId="0" fillId="4" borderId="105" xfId="6" applyFont="1" applyFill="1" applyBorder="1" applyAlignment="1">
      <alignment horizontal="center" vertical="center" wrapText="1"/>
    </xf>
    <xf numFmtId="169" fontId="0" fillId="4" borderId="104" xfId="1" applyNumberFormat="1" applyFont="1" applyFill="1" applyBorder="1" applyAlignment="1">
      <alignment horizontal="right" vertical="center" wrapText="1" indent="2"/>
    </xf>
    <xf numFmtId="169" fontId="0" fillId="4" borderId="8" xfId="1" applyNumberFormat="1" applyFont="1" applyFill="1" applyBorder="1" applyAlignment="1">
      <alignment horizontal="right" vertical="center" wrapText="1" indent="2"/>
    </xf>
    <xf numFmtId="169" fontId="0" fillId="4" borderId="105" xfId="1" applyNumberFormat="1" applyFont="1" applyFill="1" applyBorder="1" applyAlignment="1">
      <alignment horizontal="right" vertical="center" wrapText="1" indent="2"/>
    </xf>
    <xf numFmtId="169" fontId="0" fillId="4" borderId="89" xfId="1" applyNumberFormat="1" applyFont="1" applyFill="1" applyBorder="1" applyAlignment="1">
      <alignment horizontal="right" vertical="center" wrapText="1" indent="2"/>
    </xf>
    <xf numFmtId="0" fontId="6" fillId="4" borderId="110" xfId="0" applyFont="1" applyFill="1" applyBorder="1" applyAlignment="1">
      <alignment horizontal="center" vertical="center" wrapText="1"/>
    </xf>
    <xf numFmtId="169" fontId="0" fillId="4" borderId="10" xfId="1" applyNumberFormat="1" applyFont="1" applyFill="1" applyBorder="1" applyAlignment="1">
      <alignment horizontal="right" vertical="center" wrapText="1" indent="2"/>
    </xf>
    <xf numFmtId="169" fontId="0" fillId="4" borderId="7" xfId="1" applyNumberFormat="1" applyFont="1" applyFill="1" applyBorder="1" applyAlignment="1">
      <alignment horizontal="right" vertical="center" wrapText="1" indent="2"/>
    </xf>
    <xf numFmtId="169" fontId="0" fillId="4" borderId="100" xfId="1" applyNumberFormat="1" applyFont="1" applyFill="1" applyBorder="1" applyAlignment="1">
      <alignment horizontal="right" vertical="center" wrapText="1" indent="2"/>
    </xf>
    <xf numFmtId="169" fontId="0" fillId="4" borderId="93" xfId="1" applyNumberFormat="1" applyFont="1" applyFill="1" applyBorder="1" applyAlignment="1">
      <alignment horizontal="right" vertical="center" wrapText="1" indent="2"/>
    </xf>
    <xf numFmtId="0" fontId="0" fillId="4" borderId="10" xfId="0" applyFill="1" applyBorder="1" applyAlignment="1">
      <alignment horizontal="center" vertical="center" wrapText="1"/>
    </xf>
    <xf numFmtId="0" fontId="0" fillId="4" borderId="7" xfId="0" applyFill="1" applyBorder="1" applyAlignment="1">
      <alignment horizontal="center" vertical="center" wrapText="1"/>
    </xf>
    <xf numFmtId="0" fontId="0" fillId="4" borderId="100" xfId="0" applyFill="1" applyBorder="1" applyAlignment="1">
      <alignment horizontal="center" vertical="center" wrapText="1"/>
    </xf>
    <xf numFmtId="0" fontId="37" fillId="3" borderId="101" xfId="0" applyFont="1" applyFill="1" applyBorder="1" applyAlignment="1">
      <alignment horizontal="right" vertical="center" wrapText="1"/>
    </xf>
    <xf numFmtId="0" fontId="14" fillId="11" borderId="23" xfId="0" applyFont="1" applyFill="1" applyBorder="1" applyAlignment="1">
      <alignment horizontal="left" vertical="center" indent="2"/>
    </xf>
    <xf numFmtId="0" fontId="0" fillId="0" borderId="0" xfId="0" applyAlignment="1">
      <alignment vertical="top"/>
    </xf>
    <xf numFmtId="0" fontId="36" fillId="17" borderId="0" xfId="0" applyFont="1" applyFill="1" applyAlignment="1">
      <alignment vertical="top"/>
    </xf>
    <xf numFmtId="0" fontId="36" fillId="18" borderId="0" xfId="0" applyFont="1" applyFill="1" applyAlignment="1">
      <alignment vertical="top"/>
    </xf>
    <xf numFmtId="0" fontId="36" fillId="19" borderId="0" xfId="0" applyFont="1" applyFill="1" applyAlignment="1">
      <alignment vertical="top"/>
    </xf>
    <xf numFmtId="0" fontId="46" fillId="8" borderId="0" xfId="0" applyFont="1" applyFill="1" applyAlignment="1">
      <alignment vertical="center"/>
    </xf>
    <xf numFmtId="0" fontId="11" fillId="8" borderId="0" xfId="0" applyFont="1" applyFill="1" applyAlignment="1">
      <alignment vertical="top"/>
    </xf>
    <xf numFmtId="0" fontId="0" fillId="0" borderId="0" xfId="0" applyAlignment="1">
      <alignment horizontal="left" vertical="top" wrapText="1"/>
    </xf>
    <xf numFmtId="0" fontId="12" fillId="0" borderId="0" xfId="0" applyFont="1" applyAlignment="1">
      <alignment horizontal="left" vertical="center" wrapText="1"/>
    </xf>
    <xf numFmtId="3" fontId="20" fillId="9" borderId="58" xfId="5" applyNumberFormat="1" applyFont="1" applyFill="1" applyBorder="1" applyAlignment="1">
      <alignment horizontal="center" vertical="center"/>
    </xf>
    <xf numFmtId="3" fontId="20" fillId="9" borderId="58" xfId="3" applyNumberFormat="1" applyFont="1" applyFill="1" applyBorder="1" applyAlignment="1">
      <alignment horizontal="center" vertical="center"/>
    </xf>
    <xf numFmtId="1" fontId="0" fillId="3" borderId="13" xfId="0" applyNumberFormat="1" applyFont="1" applyFill="1" applyBorder="1" applyAlignment="1" applyProtection="1">
      <alignment vertical="center"/>
      <protection locked="0"/>
    </xf>
    <xf numFmtId="0" fontId="0" fillId="5" borderId="0" xfId="0" applyFill="1">
      <alignment vertical="center" wrapText="1"/>
    </xf>
    <xf numFmtId="0" fontId="6" fillId="5" borderId="0" xfId="0" applyFont="1" applyFill="1" applyAlignment="1">
      <alignment vertical="center" wrapText="1"/>
    </xf>
    <xf numFmtId="9" fontId="8" fillId="0" borderId="0" xfId="6" applyFont="1" applyFill="1" applyAlignment="1">
      <alignment vertical="center"/>
    </xf>
    <xf numFmtId="0" fontId="11" fillId="8" borderId="117" xfId="0" applyFont="1" applyFill="1" applyBorder="1" applyAlignment="1" applyProtection="1">
      <alignment vertical="center" wrapText="1"/>
    </xf>
    <xf numFmtId="0" fontId="0" fillId="0" borderId="117" xfId="0" applyFont="1" applyBorder="1" applyAlignment="1" applyProtection="1">
      <alignment vertical="center" wrapText="1"/>
    </xf>
    <xf numFmtId="0" fontId="8" fillId="0" borderId="117" xfId="3" applyFont="1" applyBorder="1" applyAlignment="1" applyProtection="1">
      <alignment vertical="center" wrapText="1"/>
    </xf>
    <xf numFmtId="0" fontId="0" fillId="0" borderId="117" xfId="0" applyFont="1" applyFill="1" applyBorder="1" applyAlignment="1" applyProtection="1">
      <alignment vertical="center" wrapText="1"/>
    </xf>
    <xf numFmtId="0" fontId="0" fillId="0" borderId="117" xfId="0" applyFont="1" applyFill="1" applyBorder="1" applyAlignment="1" applyProtection="1">
      <alignment horizontal="left" vertical="center" wrapText="1"/>
    </xf>
    <xf numFmtId="2" fontId="0" fillId="0" borderId="117" xfId="0" applyNumberFormat="1" applyFont="1" applyFill="1" applyBorder="1" applyAlignment="1" applyProtection="1">
      <alignment horizontal="left" vertical="center" wrapText="1"/>
    </xf>
    <xf numFmtId="0" fontId="0" fillId="0" borderId="117" xfId="0" applyFont="1" applyBorder="1" applyAlignment="1" applyProtection="1">
      <alignment horizontal="left" vertical="center" wrapText="1"/>
    </xf>
    <xf numFmtId="0" fontId="0" fillId="9" borderId="117" xfId="0" applyFont="1" applyFill="1" applyBorder="1" applyAlignment="1" applyProtection="1">
      <alignment vertical="center" wrapText="1"/>
    </xf>
    <xf numFmtId="0" fontId="0" fillId="0" borderId="117" xfId="0" applyFill="1" applyBorder="1" applyAlignment="1" applyProtection="1">
      <alignment horizontal="left" vertical="center"/>
    </xf>
    <xf numFmtId="0" fontId="51" fillId="3" borderId="13" xfId="0" applyFont="1" applyFill="1" applyBorder="1" applyAlignment="1" applyProtection="1">
      <alignment horizontal="right" vertical="center" indent="1"/>
      <protection locked="0"/>
    </xf>
    <xf numFmtId="167" fontId="51" fillId="5" borderId="15" xfId="0" applyNumberFormat="1" applyFont="1" applyFill="1" applyBorder="1" applyAlignment="1" applyProtection="1">
      <alignment vertical="center"/>
    </xf>
    <xf numFmtId="0" fontId="51" fillId="5" borderId="13" xfId="0" applyNumberFormat="1" applyFont="1" applyFill="1" applyBorder="1" applyAlignment="1" applyProtection="1">
      <alignment vertical="center"/>
    </xf>
    <xf numFmtId="0" fontId="51" fillId="5" borderId="33" xfId="0" applyFont="1" applyFill="1" applyBorder="1" applyAlignment="1" applyProtection="1">
      <alignment vertical="center"/>
    </xf>
    <xf numFmtId="167" fontId="51" fillId="5" borderId="32" xfId="6" applyNumberFormat="1" applyFont="1" applyFill="1" applyBorder="1" applyAlignment="1" applyProtection="1">
      <alignment vertical="center"/>
    </xf>
    <xf numFmtId="0" fontId="51" fillId="5" borderId="33" xfId="0" applyNumberFormat="1" applyFont="1" applyFill="1" applyBorder="1" applyAlignment="1" applyProtection="1">
      <alignment vertical="center"/>
    </xf>
    <xf numFmtId="0" fontId="52" fillId="3" borderId="13" xfId="0" applyFont="1" applyFill="1" applyBorder="1" applyAlignment="1" applyProtection="1">
      <alignment horizontal="right" vertical="center" indent="1"/>
      <protection locked="0"/>
    </xf>
    <xf numFmtId="167" fontId="52" fillId="5" borderId="13" xfId="0" applyNumberFormat="1" applyFont="1" applyFill="1" applyBorder="1" applyAlignment="1" applyProtection="1">
      <alignment vertical="center"/>
    </xf>
    <xf numFmtId="0" fontId="52" fillId="5" borderId="13" xfId="0" applyNumberFormat="1" applyFont="1" applyFill="1" applyBorder="1" applyAlignment="1" applyProtection="1">
      <alignment vertical="center"/>
    </xf>
    <xf numFmtId="0" fontId="52" fillId="5" borderId="33" xfId="0" applyFont="1" applyFill="1" applyBorder="1" applyAlignment="1" applyProtection="1">
      <alignment vertical="center"/>
    </xf>
    <xf numFmtId="167" fontId="52" fillId="5" borderId="33" xfId="0" applyNumberFormat="1" applyFont="1" applyFill="1" applyBorder="1" applyAlignment="1" applyProtection="1">
      <alignment vertical="center"/>
    </xf>
    <xf numFmtId="0" fontId="52" fillId="5" borderId="33" xfId="0" applyNumberFormat="1" applyFont="1" applyFill="1" applyBorder="1" applyAlignment="1" applyProtection="1">
      <alignment vertical="center"/>
    </xf>
    <xf numFmtId="0" fontId="51" fillId="13" borderId="16" xfId="0" applyFont="1" applyFill="1" applyBorder="1" applyAlignment="1" applyProtection="1">
      <alignment horizontal="right" vertical="center" indent="1"/>
      <protection locked="0"/>
    </xf>
    <xf numFmtId="0" fontId="51" fillId="5" borderId="34" xfId="0" applyFont="1" applyFill="1" applyBorder="1" applyAlignment="1" applyProtection="1">
      <alignment vertical="center"/>
    </xf>
    <xf numFmtId="0" fontId="52" fillId="13" borderId="16" xfId="0" applyFont="1" applyFill="1" applyBorder="1" applyAlignment="1" applyProtection="1">
      <alignment horizontal="right" vertical="center" indent="1"/>
      <protection locked="0"/>
    </xf>
    <xf numFmtId="0" fontId="52" fillId="5" borderId="34" xfId="0" applyFont="1" applyFill="1" applyBorder="1" applyAlignment="1" applyProtection="1">
      <alignment vertical="center"/>
    </xf>
    <xf numFmtId="0" fontId="51" fillId="3" borderId="13" xfId="0" applyFont="1" applyFill="1" applyBorder="1" applyAlignment="1" applyProtection="1">
      <alignment vertical="center"/>
      <protection locked="0"/>
    </xf>
    <xf numFmtId="2" fontId="51" fillId="3" borderId="13" xfId="0" applyNumberFormat="1" applyFont="1" applyFill="1" applyBorder="1" applyAlignment="1" applyProtection="1">
      <alignment vertical="center"/>
      <protection locked="0"/>
    </xf>
    <xf numFmtId="2" fontId="51" fillId="13" borderId="13" xfId="0" applyNumberFormat="1" applyFont="1" applyFill="1" applyBorder="1" applyAlignment="1" applyProtection="1">
      <alignment vertical="center"/>
      <protection locked="0"/>
    </xf>
    <xf numFmtId="0" fontId="51" fillId="5" borderId="13" xfId="0" applyFont="1" applyFill="1" applyBorder="1" applyAlignment="1" applyProtection="1">
      <alignment vertical="center"/>
    </xf>
    <xf numFmtId="2" fontId="51" fillId="5" borderId="33" xfId="1" applyNumberFormat="1" applyFont="1" applyFill="1" applyBorder="1" applyAlignment="1" applyProtection="1">
      <alignment vertical="center"/>
    </xf>
    <xf numFmtId="0" fontId="51" fillId="0" borderId="33" xfId="0" applyFont="1" applyBorder="1" applyAlignment="1" applyProtection="1">
      <alignment vertical="center"/>
    </xf>
    <xf numFmtId="2" fontId="51" fillId="0" borderId="33" xfId="0" applyNumberFormat="1" applyFont="1" applyBorder="1" applyAlignment="1" applyProtection="1">
      <alignment vertical="center"/>
    </xf>
    <xf numFmtId="0" fontId="51" fillId="0" borderId="33" xfId="0" applyFont="1" applyFill="1" applyBorder="1" applyAlignment="1" applyProtection="1">
      <alignment vertical="center"/>
    </xf>
    <xf numFmtId="0" fontId="52" fillId="3" borderId="13" xfId="0" applyFont="1" applyFill="1" applyBorder="1" applyAlignment="1" applyProtection="1">
      <alignment vertical="center"/>
      <protection locked="0"/>
    </xf>
    <xf numFmtId="167" fontId="52" fillId="3" borderId="13" xfId="0" applyNumberFormat="1" applyFont="1" applyFill="1" applyBorder="1" applyAlignment="1" applyProtection="1">
      <alignment vertical="center"/>
      <protection locked="0"/>
    </xf>
    <xf numFmtId="2" fontId="52" fillId="3" borderId="13" xfId="0" applyNumberFormat="1" applyFont="1" applyFill="1" applyBorder="1" applyAlignment="1" applyProtection="1">
      <alignment vertical="center"/>
      <protection locked="0"/>
    </xf>
    <xf numFmtId="2" fontId="52" fillId="13" borderId="13" xfId="0" applyNumberFormat="1" applyFont="1" applyFill="1" applyBorder="1" applyAlignment="1" applyProtection="1">
      <alignment vertical="center"/>
      <protection locked="0"/>
    </xf>
    <xf numFmtId="0" fontId="52" fillId="5" borderId="13" xfId="0" applyFont="1" applyFill="1" applyBorder="1" applyAlignment="1" applyProtection="1">
      <alignment vertical="center"/>
    </xf>
    <xf numFmtId="2" fontId="52" fillId="5" borderId="33" xfId="1" applyNumberFormat="1" applyFont="1" applyFill="1" applyBorder="1" applyAlignment="1" applyProtection="1">
      <alignment vertical="center"/>
    </xf>
    <xf numFmtId="0" fontId="52" fillId="0" borderId="33" xfId="0" applyFont="1" applyBorder="1" applyAlignment="1" applyProtection="1">
      <alignment vertical="center"/>
    </xf>
    <xf numFmtId="167" fontId="52" fillId="0" borderId="33" xfId="0" applyNumberFormat="1" applyFont="1" applyBorder="1" applyAlignment="1" applyProtection="1">
      <alignment vertical="center"/>
    </xf>
    <xf numFmtId="2" fontId="52" fillId="0" borderId="33" xfId="0" applyNumberFormat="1" applyFont="1" applyBorder="1" applyAlignment="1" applyProtection="1">
      <alignment vertical="center"/>
    </xf>
    <xf numFmtId="0" fontId="48" fillId="5" borderId="0" xfId="0" applyFont="1" applyFill="1" applyAlignment="1">
      <alignment horizontal="left" vertical="center" wrapText="1"/>
    </xf>
    <xf numFmtId="0" fontId="49" fillId="5" borderId="0" xfId="0" applyFont="1" applyFill="1" applyAlignment="1">
      <alignment horizontal="center" vertical="center" wrapText="1"/>
    </xf>
    <xf numFmtId="0" fontId="47" fillId="17" borderId="0" xfId="0" applyFont="1" applyFill="1" applyAlignment="1">
      <alignment horizontal="center" vertical="center" wrapText="1"/>
    </xf>
    <xf numFmtId="0" fontId="36" fillId="5" borderId="0" xfId="0" applyFont="1" applyFill="1" applyAlignment="1">
      <alignment horizontal="center" vertical="center" wrapText="1"/>
    </xf>
    <xf numFmtId="0" fontId="6" fillId="5" borderId="115" xfId="0" applyFont="1" applyFill="1" applyBorder="1" applyAlignment="1">
      <alignment horizontal="center" vertical="center" wrapText="1"/>
    </xf>
    <xf numFmtId="0" fontId="0" fillId="0" borderId="0" xfId="0" applyAlignment="1">
      <alignment horizontal="left" vertical="top" wrapText="1"/>
    </xf>
    <xf numFmtId="0" fontId="12" fillId="0" borderId="0" xfId="0" applyFont="1" applyAlignment="1">
      <alignment horizontal="left" vertical="center" wrapText="1"/>
    </xf>
    <xf numFmtId="0" fontId="7" fillId="0" borderId="0" xfId="0" applyFont="1" applyAlignment="1">
      <alignment horizontal="left" vertical="center" wrapText="1"/>
    </xf>
    <xf numFmtId="0" fontId="0" fillId="0" borderId="117" xfId="0" applyFont="1" applyBorder="1" applyAlignment="1" applyProtection="1">
      <alignment horizontal="left" vertical="center" wrapText="1"/>
    </xf>
    <xf numFmtId="0" fontId="0" fillId="0" borderId="119" xfId="0" applyFill="1" applyBorder="1" applyAlignment="1" applyProtection="1">
      <alignment horizontal="left" vertical="center"/>
    </xf>
    <xf numFmtId="0" fontId="0" fillId="0" borderId="120" xfId="0" applyFill="1" applyBorder="1" applyAlignment="1" applyProtection="1">
      <alignment horizontal="left" vertical="center"/>
    </xf>
    <xf numFmtId="0" fontId="0" fillId="0" borderId="117" xfId="0" applyFill="1" applyBorder="1" applyAlignment="1" applyProtection="1">
      <alignment horizontal="left" vertical="center" wrapText="1"/>
    </xf>
    <xf numFmtId="0" fontId="0" fillId="0" borderId="118" xfId="0" applyFill="1" applyBorder="1" applyAlignment="1" applyProtection="1">
      <alignment horizontal="left" vertical="center" wrapText="1"/>
    </xf>
    <xf numFmtId="0" fontId="16" fillId="3" borderId="116" xfId="0" applyFont="1" applyFill="1" applyBorder="1" applyAlignment="1" applyProtection="1">
      <alignment horizontal="center" vertical="center"/>
    </xf>
    <xf numFmtId="0" fontId="16" fillId="3" borderId="117" xfId="0" applyFont="1" applyFill="1" applyBorder="1" applyAlignment="1" applyProtection="1">
      <alignment horizontal="center" vertical="center"/>
    </xf>
    <xf numFmtId="0" fontId="0" fillId="0" borderId="9" xfId="0" applyFont="1" applyBorder="1" applyAlignment="1" applyProtection="1">
      <alignment horizontal="left" vertical="center" wrapText="1"/>
    </xf>
    <xf numFmtId="0" fontId="0" fillId="0" borderId="4" xfId="0" applyFont="1" applyBorder="1" applyAlignment="1" applyProtection="1">
      <alignment horizontal="left" vertical="center" wrapText="1"/>
    </xf>
    <xf numFmtId="0" fontId="0" fillId="0" borderId="10" xfId="0" applyFont="1" applyBorder="1" applyAlignment="1" applyProtection="1">
      <alignment horizontal="left" vertical="center" wrapText="1"/>
    </xf>
    <xf numFmtId="0" fontId="0" fillId="0" borderId="7" xfId="0" applyFill="1" applyBorder="1" applyAlignment="1" applyProtection="1">
      <alignment horizontal="left" vertical="center"/>
    </xf>
    <xf numFmtId="0" fontId="0" fillId="0" borderId="93" xfId="0" applyFill="1" applyBorder="1" applyAlignment="1" applyProtection="1">
      <alignment horizontal="left" vertical="center"/>
    </xf>
    <xf numFmtId="0" fontId="12" fillId="0" borderId="18" xfId="0" applyFont="1" applyBorder="1" applyAlignment="1" applyProtection="1">
      <alignment horizontal="center" vertical="center"/>
    </xf>
    <xf numFmtId="0" fontId="12" fillId="0" borderId="19" xfId="0" applyFont="1" applyBorder="1" applyAlignment="1" applyProtection="1">
      <alignment horizontal="center" vertical="center"/>
    </xf>
    <xf numFmtId="0" fontId="12" fillId="0" borderId="20" xfId="0" applyFont="1" applyBorder="1" applyAlignment="1" applyProtection="1">
      <alignment horizontal="center" vertical="center"/>
    </xf>
    <xf numFmtId="0" fontId="0" fillId="0" borderId="9" xfId="0" applyFont="1" applyFill="1" applyBorder="1" applyAlignment="1" applyProtection="1">
      <alignment horizontal="left" vertical="center" wrapText="1"/>
    </xf>
    <xf numFmtId="0" fontId="0" fillId="0" borderId="10" xfId="0" applyFont="1" applyFill="1" applyBorder="1" applyAlignment="1" applyProtection="1">
      <alignment horizontal="left" vertical="center" wrapText="1"/>
    </xf>
    <xf numFmtId="0" fontId="12" fillId="3" borderId="12" xfId="0" applyFont="1" applyFill="1" applyBorder="1" applyAlignment="1" applyProtection="1">
      <alignment horizontal="center" vertical="center"/>
    </xf>
    <xf numFmtId="0" fontId="12" fillId="3" borderId="27" xfId="0" applyFont="1" applyFill="1" applyBorder="1" applyAlignment="1" applyProtection="1">
      <alignment horizontal="center" vertical="center"/>
    </xf>
    <xf numFmtId="0" fontId="13" fillId="6" borderId="6" xfId="0" applyFont="1" applyFill="1" applyBorder="1" applyAlignment="1" applyProtection="1">
      <alignment horizontal="center" vertical="center" wrapText="1"/>
    </xf>
    <xf numFmtId="0" fontId="13" fillId="6" borderId="8" xfId="0" applyFont="1" applyFill="1" applyBorder="1" applyAlignment="1" applyProtection="1">
      <alignment horizontal="center" vertical="center" wrapText="1"/>
    </xf>
    <xf numFmtId="0" fontId="13" fillId="0" borderId="37" xfId="0" applyFont="1" applyBorder="1" applyAlignment="1" applyProtection="1">
      <alignment horizontal="center" vertical="center"/>
    </xf>
    <xf numFmtId="0" fontId="13" fillId="0" borderId="38" xfId="0" applyFont="1" applyBorder="1" applyAlignment="1" applyProtection="1">
      <alignment horizontal="center" vertical="center"/>
    </xf>
    <xf numFmtId="0" fontId="13" fillId="0" borderId="7" xfId="0" applyFont="1" applyBorder="1" applyAlignment="1" applyProtection="1">
      <alignment horizontal="center" vertical="center" wrapText="1"/>
    </xf>
    <xf numFmtId="0" fontId="13" fillId="0" borderId="25" xfId="0" applyFont="1" applyBorder="1" applyAlignment="1" applyProtection="1">
      <alignment horizontal="center" vertical="center" wrapText="1"/>
    </xf>
    <xf numFmtId="0" fontId="13" fillId="3" borderId="13" xfId="0" applyFont="1" applyFill="1" applyBorder="1" applyAlignment="1" applyProtection="1">
      <alignment horizontal="center" vertical="center"/>
    </xf>
    <xf numFmtId="0" fontId="13" fillId="3" borderId="14" xfId="0" applyFont="1" applyFill="1" applyBorder="1" applyAlignment="1" applyProtection="1">
      <alignment horizontal="center" vertical="center"/>
    </xf>
    <xf numFmtId="0" fontId="13" fillId="0" borderId="13" xfId="0" applyFont="1" applyBorder="1" applyAlignment="1" applyProtection="1">
      <alignment horizontal="center" vertical="center"/>
    </xf>
    <xf numFmtId="0" fontId="13" fillId="0" borderId="14" xfId="0" applyFont="1" applyBorder="1" applyAlignment="1" applyProtection="1">
      <alignment horizontal="center" vertical="center"/>
    </xf>
    <xf numFmtId="0" fontId="6" fillId="6" borderId="30" xfId="0" applyFont="1" applyFill="1" applyBorder="1" applyAlignment="1" applyProtection="1">
      <alignment horizontal="center" vertical="center"/>
    </xf>
    <xf numFmtId="0" fontId="6" fillId="6" borderId="28" xfId="0" applyFont="1" applyFill="1" applyBorder="1" applyAlignment="1" applyProtection="1">
      <alignment horizontal="center" vertical="center"/>
    </xf>
    <xf numFmtId="0" fontId="6" fillId="6" borderId="29" xfId="0" applyFont="1" applyFill="1" applyBorder="1" applyAlignment="1" applyProtection="1">
      <alignment horizontal="center" vertical="center"/>
    </xf>
    <xf numFmtId="0" fontId="0" fillId="0" borderId="11" xfId="0" applyFont="1" applyBorder="1" applyAlignment="1" applyProtection="1">
      <alignment horizontal="left" vertical="center" wrapText="1"/>
    </xf>
    <xf numFmtId="0" fontId="0" fillId="0" borderId="9" xfId="0" applyFill="1" applyBorder="1" applyAlignment="1" applyProtection="1">
      <alignment horizontal="left" vertical="center" wrapText="1"/>
    </xf>
    <xf numFmtId="0" fontId="0" fillId="0" borderId="4" xfId="0" applyFill="1" applyBorder="1" applyAlignment="1" applyProtection="1">
      <alignment horizontal="left" vertical="center" wrapText="1"/>
    </xf>
    <xf numFmtId="0" fontId="0" fillId="0" borderId="5" xfId="0" applyFill="1" applyBorder="1" applyAlignment="1" applyProtection="1">
      <alignment horizontal="left" vertical="center" wrapText="1"/>
    </xf>
    <xf numFmtId="0" fontId="41" fillId="8" borderId="95" xfId="3" applyFont="1" applyFill="1" applyBorder="1" applyAlignment="1">
      <alignment horizontal="center" vertical="center"/>
    </xf>
    <xf numFmtId="0" fontId="41" fillId="8" borderId="73" xfId="3" applyFont="1" applyFill="1" applyBorder="1" applyAlignment="1">
      <alignment horizontal="center" vertical="center"/>
    </xf>
    <xf numFmtId="0" fontId="18" fillId="0" borderId="55" xfId="3" applyFont="1" applyFill="1" applyBorder="1" applyAlignment="1">
      <alignment horizontal="center" vertical="center"/>
    </xf>
    <xf numFmtId="0" fontId="18" fillId="0" borderId="56" xfId="3" applyFont="1" applyFill="1" applyBorder="1" applyAlignment="1">
      <alignment horizontal="center" vertical="center"/>
    </xf>
    <xf numFmtId="0" fontId="18" fillId="0" borderId="52" xfId="3" applyFont="1" applyFill="1" applyBorder="1" applyAlignment="1">
      <alignment horizontal="center" vertical="center"/>
    </xf>
    <xf numFmtId="0" fontId="12" fillId="3" borderId="75" xfId="0" applyFont="1" applyFill="1" applyBorder="1" applyAlignment="1">
      <alignment horizontal="center" vertical="center"/>
    </xf>
    <xf numFmtId="0" fontId="12" fillId="3" borderId="76" xfId="0" applyFont="1" applyFill="1" applyBorder="1" applyAlignment="1">
      <alignment horizontal="center" vertical="center"/>
    </xf>
    <xf numFmtId="0" fontId="12" fillId="3" borderId="77" xfId="0" applyFont="1" applyFill="1" applyBorder="1" applyAlignment="1">
      <alignment horizontal="center" vertical="center"/>
    </xf>
    <xf numFmtId="0" fontId="12" fillId="6" borderId="76" xfId="0" applyFont="1" applyFill="1" applyBorder="1" applyAlignment="1">
      <alignment horizontal="center" vertical="center"/>
    </xf>
    <xf numFmtId="0" fontId="12" fillId="6" borderId="77" xfId="0" applyFont="1" applyFill="1" applyBorder="1" applyAlignment="1">
      <alignment horizontal="center" vertical="center"/>
    </xf>
    <xf numFmtId="0" fontId="35" fillId="0" borderId="70" xfId="3" applyFont="1" applyFill="1" applyBorder="1" applyAlignment="1">
      <alignment horizontal="center" vertical="center"/>
    </xf>
    <xf numFmtId="0" fontId="35" fillId="0" borderId="71" xfId="3" applyFont="1" applyFill="1" applyBorder="1" applyAlignment="1">
      <alignment horizontal="center" vertical="center"/>
    </xf>
    <xf numFmtId="0" fontId="17" fillId="0" borderId="65" xfId="3" applyFont="1" applyFill="1" applyBorder="1" applyAlignment="1">
      <alignment horizontal="center" vertical="center"/>
    </xf>
    <xf numFmtId="0" fontId="17" fillId="0" borderId="67" xfId="3" applyFont="1" applyFill="1" applyBorder="1" applyAlignment="1">
      <alignment horizontal="center" vertical="center"/>
    </xf>
    <xf numFmtId="0" fontId="17" fillId="0" borderId="69" xfId="3" applyFont="1" applyFill="1" applyBorder="1" applyAlignment="1">
      <alignment horizontal="center" vertical="center"/>
    </xf>
    <xf numFmtId="0" fontId="19" fillId="0" borderId="54" xfId="3" applyFont="1" applyFill="1" applyBorder="1" applyAlignment="1">
      <alignment horizontal="center" vertical="center"/>
    </xf>
    <xf numFmtId="0" fontId="19" fillId="0" borderId="57" xfId="3" applyFont="1" applyFill="1" applyBorder="1" applyAlignment="1">
      <alignment horizontal="center" vertical="center"/>
    </xf>
    <xf numFmtId="0" fontId="19" fillId="0" borderId="61" xfId="3" applyFont="1" applyFill="1" applyBorder="1" applyAlignment="1">
      <alignment horizontal="center" vertical="center"/>
    </xf>
    <xf numFmtId="0" fontId="34" fillId="0" borderId="0" xfId="0" applyFont="1" applyAlignment="1">
      <alignment horizontal="center" vertical="center" wrapText="1"/>
    </xf>
    <xf numFmtId="0" fontId="34" fillId="4" borderId="111" xfId="0" applyFont="1" applyFill="1" applyBorder="1" applyAlignment="1">
      <alignment horizontal="center" vertical="center" wrapText="1"/>
    </xf>
    <xf numFmtId="0" fontId="34" fillId="4" borderId="112" xfId="0" applyFont="1" applyFill="1" applyBorder="1" applyAlignment="1">
      <alignment horizontal="center" vertical="center" wrapText="1"/>
    </xf>
    <xf numFmtId="0" fontId="34" fillId="4" borderId="113" xfId="0" applyFont="1" applyFill="1" applyBorder="1" applyAlignment="1">
      <alignment horizontal="center" vertical="center" wrapText="1"/>
    </xf>
    <xf numFmtId="0" fontId="34" fillId="4" borderId="114" xfId="0" applyFont="1" applyFill="1" applyBorder="1" applyAlignment="1">
      <alignment horizontal="center" vertical="center" wrapText="1"/>
    </xf>
    <xf numFmtId="0" fontId="6" fillId="0" borderId="102" xfId="0" applyFont="1" applyBorder="1" applyAlignment="1">
      <alignment horizontal="center" vertical="center" wrapText="1"/>
    </xf>
    <xf numFmtId="0" fontId="6" fillId="0" borderId="103" xfId="0" applyFont="1" applyBorder="1" applyAlignment="1">
      <alignment horizontal="center" vertical="center" wrapText="1"/>
    </xf>
    <xf numFmtId="0" fontId="0" fillId="0" borderId="121" xfId="0" applyFont="1" applyBorder="1" applyAlignment="1" applyProtection="1">
      <alignment horizontal="left" vertical="center" wrapText="1"/>
    </xf>
    <xf numFmtId="0" fontId="0" fillId="0" borderId="122" xfId="0" applyFont="1" applyBorder="1" applyAlignment="1" applyProtection="1">
      <alignment horizontal="left" vertical="center" wrapText="1"/>
    </xf>
    <xf numFmtId="0" fontId="0" fillId="0" borderId="122" xfId="0" applyFont="1" applyBorder="1" applyAlignment="1" applyProtection="1">
      <alignment vertical="center" wrapText="1"/>
    </xf>
    <xf numFmtId="0" fontId="8" fillId="0" borderId="123" xfId="4" applyFont="1" applyFill="1" applyBorder="1" applyAlignment="1" applyProtection="1">
      <alignment horizontal="center" vertical="center"/>
    </xf>
    <xf numFmtId="0" fontId="53" fillId="8" borderId="19" xfId="0" applyFont="1" applyFill="1" applyBorder="1" applyAlignment="1" applyProtection="1">
      <alignment vertical="center"/>
    </xf>
    <xf numFmtId="0" fontId="54" fillId="8" borderId="19" xfId="0" applyFont="1" applyFill="1" applyBorder="1" applyAlignment="1" applyProtection="1">
      <alignment vertical="center"/>
    </xf>
  </cellXfs>
  <cellStyles count="7">
    <cellStyle name="Entrée" xfId="2" builtinId="20"/>
    <cellStyle name="Financier0" xfId="5" xr:uid="{00000000-0005-0000-0000-000001000000}"/>
    <cellStyle name="Lien hypertexte" xfId="4" builtinId="8"/>
    <cellStyle name="Monétaire" xfId="1" builtinId="4"/>
    <cellStyle name="Normal" xfId="0" builtinId="0" customBuiltin="1"/>
    <cellStyle name="Normal 2" xfId="3" xr:uid="{00000000-0005-0000-0000-000005000000}"/>
    <cellStyle name="Pourcentage" xfId="6" builtinId="5"/>
  </cellStyles>
  <dxfs count="12">
    <dxf>
      <font>
        <strike val="0"/>
        <outline val="0"/>
        <shadow val="0"/>
        <u val="none"/>
        <vertAlign val="baseline"/>
        <sz val="11"/>
        <color auto="1"/>
        <name val="Calibri"/>
        <scheme val="minor"/>
      </font>
      <numFmt numFmtId="0" formatCode="General"/>
      <alignment vertical="center" textRotation="0" wrapText="0" indent="0" justifyLastLine="0" shrinkToFit="0" readingOrder="0"/>
    </dxf>
    <dxf>
      <font>
        <strike val="0"/>
        <outline val="0"/>
        <shadow val="0"/>
        <u val="none"/>
        <vertAlign val="baseline"/>
        <sz val="11"/>
        <color auto="1"/>
        <name val="Calibri"/>
        <scheme val="minor"/>
      </font>
      <alignment vertical="center" textRotation="0" wrapText="0" indent="0" justifyLastLine="0" shrinkToFit="0" readingOrder="0"/>
    </dxf>
    <dxf>
      <fill>
        <patternFill patternType="none">
          <fgColor indexed="64"/>
          <bgColor auto="1"/>
        </patternFill>
      </fill>
    </dxf>
    <dxf>
      <numFmt numFmtId="3" formatCode="#,##0"/>
      <border diagonalUp="0" diagonalDown="0">
        <left style="thin">
          <color auto="1"/>
        </left>
        <right style="medium">
          <color auto="1"/>
        </right>
        <vertical style="thin">
          <color auto="1"/>
        </vertical>
      </border>
    </dxf>
    <dxf>
      <border diagonalUp="0" diagonalDown="0">
        <left style="thin">
          <color auto="1"/>
        </left>
        <right style="thin">
          <color auto="1"/>
        </right>
        <vertical style="thin">
          <color auto="1"/>
        </vertical>
      </border>
    </dxf>
    <dxf>
      <border diagonalUp="0" diagonalDown="0">
        <left style="double">
          <color auto="1"/>
        </left>
        <right style="thin">
          <color auto="1"/>
        </right>
        <vertical style="thin">
          <color auto="1"/>
        </vertical>
      </border>
    </dxf>
    <dxf>
      <font>
        <strike val="0"/>
        <outline val="0"/>
        <shadow val="0"/>
        <vertAlign val="baseline"/>
        <sz val="11"/>
        <name val="Calibri"/>
        <scheme val="minor"/>
      </font>
      <alignment horizontal="center" vertical="center" textRotation="0" wrapText="0" indent="0" justifyLastLine="0" shrinkToFit="0" readingOrder="0"/>
      <border diagonalUp="0" diagonalDown="0">
        <left style="thin">
          <color indexed="64"/>
        </left>
        <right style="double">
          <color auto="1"/>
        </right>
        <top style="medium">
          <color indexed="0"/>
        </top>
        <bottom style="medium">
          <color indexed="0"/>
        </bottom>
        <vertical style="thin">
          <color indexed="64"/>
        </vertical>
      </border>
    </dxf>
    <dxf>
      <font>
        <b val="0"/>
        <i val="0"/>
        <strike val="0"/>
        <condense val="0"/>
        <extend val="0"/>
        <outline val="0"/>
        <shadow val="0"/>
        <u val="none"/>
        <vertAlign val="baseline"/>
        <sz val="11"/>
        <color auto="1"/>
        <name val="Calibri"/>
        <scheme val="minor"/>
      </font>
      <alignment vertical="center" textRotation="0" wrapText="0" indent="0" justifyLastLine="0" shrinkToFit="0" readingOrder="0"/>
      <border diagonalUp="0" diagonalDown="0">
        <left style="thin">
          <color indexed="64"/>
        </left>
        <right style="thin">
          <color indexed="64"/>
        </right>
        <top style="medium">
          <color indexed="0"/>
        </top>
        <bottom style="medium">
          <color indexed="0"/>
        </bottom>
        <vertical style="thin">
          <color indexed="64"/>
        </vertical>
      </border>
    </dxf>
    <dxf>
      <font>
        <strike val="0"/>
        <outline val="0"/>
        <shadow val="0"/>
        <vertAlign val="baseline"/>
        <sz val="11"/>
        <name val="Calibri"/>
        <scheme val="minor"/>
      </font>
      <alignment horizontal="center" vertical="center" textRotation="0" wrapText="0" indent="0" justifyLastLine="0" shrinkToFit="0" readingOrder="0"/>
      <border diagonalUp="0" diagonalDown="0">
        <left/>
        <right style="thin">
          <color indexed="64"/>
        </right>
        <top style="medium">
          <color indexed="0"/>
        </top>
        <bottom style="medium">
          <color indexed="0"/>
        </bottom>
        <vertical style="thin">
          <color indexed="64"/>
        </vertical>
      </border>
    </dxf>
    <dxf>
      <font>
        <strike val="0"/>
        <outline val="0"/>
        <shadow val="0"/>
        <u val="none"/>
        <vertAlign val="baseline"/>
        <sz val="11"/>
        <color auto="1"/>
        <name val="Calibri"/>
        <scheme val="minor"/>
      </font>
      <alignment vertical="center" textRotation="0" wrapText="0" indent="0" justifyLastLine="0" shrinkToFit="0" readingOrder="0"/>
    </dxf>
    <dxf>
      <border>
        <bottom style="medium">
          <color indexed="64"/>
        </bottom>
      </border>
    </dxf>
    <dxf>
      <font>
        <b/>
        <i val="0"/>
        <strike val="0"/>
        <condense val="0"/>
        <extend val="0"/>
        <outline val="0"/>
        <shadow val="0"/>
        <u val="none"/>
        <vertAlign val="baseline"/>
        <sz val="11"/>
        <color theme="1" tint="4.9989318521683403E-2"/>
        <name val="Calibri"/>
        <scheme val="minor"/>
      </font>
      <fill>
        <patternFill patternType="solid">
          <fgColor indexed="64"/>
          <bgColor theme="9" tint="0.39997558519241921"/>
        </patternFill>
      </fill>
      <alignment horizontal="center" vertical="center" textRotation="0" wrapText="0" indent="0" justifyLastLine="0" shrinkToFit="0" readingOrder="0"/>
    </dxf>
  </dxfs>
  <tableStyles count="0" defaultTableStyle="TableStyleMedium2" defaultPivotStyle="PivotStyleLight16"/>
  <colors>
    <mruColors>
      <color rgb="FFFF0066"/>
      <color rgb="FFFF3399"/>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7" Type="http://schemas.openxmlformats.org/officeDocument/2006/relationships/image" Target="../media/image4.jpeg"/><Relationship Id="rId2" Type="http://schemas.openxmlformats.org/officeDocument/2006/relationships/image" Target="../media/image1.jpg"/><Relationship Id="rId1" Type="http://schemas.openxmlformats.org/officeDocument/2006/relationships/hyperlink" Target="http://www.semrpq.net/" TargetMode="External"/><Relationship Id="rId6" Type="http://schemas.openxmlformats.org/officeDocument/2006/relationships/hyperlink" Target="http://www.cecpa.qc.ca/" TargetMode="External"/><Relationship Id="rId5" Type="http://schemas.openxmlformats.org/officeDocument/2006/relationships/image" Target="../media/image3.jpeg"/><Relationship Id="rId4" Type="http://schemas.openxmlformats.org/officeDocument/2006/relationships/hyperlink" Target="https://www.cepoq.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552450</xdr:colOff>
      <xdr:row>1</xdr:row>
      <xdr:rowOff>161925</xdr:rowOff>
    </xdr:from>
    <xdr:to>
      <xdr:col>8</xdr:col>
      <xdr:colOff>273050</xdr:colOff>
      <xdr:row>6</xdr:row>
      <xdr:rowOff>172660</xdr:rowOff>
    </xdr:to>
    <xdr:pic>
      <xdr:nvPicPr>
        <xdr:cNvPr id="2" name="Image 1">
          <a:hlinkClick xmlns:r="http://schemas.openxmlformats.org/officeDocument/2006/relationships" r:id="rId1"/>
          <a:extLst>
            <a:ext uri="{FF2B5EF4-FFF2-40B4-BE49-F238E27FC236}">
              <a16:creationId xmlns:a16="http://schemas.microsoft.com/office/drawing/2014/main" id="{D7F7DCDE-CB2C-49A3-9A42-FACB15EACFB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14450" y="352425"/>
          <a:ext cx="5054600" cy="963235"/>
        </a:xfrm>
        <a:prstGeom prst="rect">
          <a:avLst/>
        </a:prstGeom>
      </xdr:spPr>
    </xdr:pic>
    <xdr:clientData/>
  </xdr:twoCellAnchor>
  <xdr:twoCellAnchor editAs="oneCell">
    <xdr:from>
      <xdr:col>0</xdr:col>
      <xdr:colOff>171450</xdr:colOff>
      <xdr:row>19</xdr:row>
      <xdr:rowOff>123825</xdr:rowOff>
    </xdr:from>
    <xdr:to>
      <xdr:col>9</xdr:col>
      <xdr:colOff>571500</xdr:colOff>
      <xdr:row>21</xdr:row>
      <xdr:rowOff>71553</xdr:rowOff>
    </xdr:to>
    <xdr:pic>
      <xdr:nvPicPr>
        <xdr:cNvPr id="3" name="Image 2">
          <a:extLst>
            <a:ext uri="{FF2B5EF4-FFF2-40B4-BE49-F238E27FC236}">
              <a16:creationId xmlns:a16="http://schemas.microsoft.com/office/drawing/2014/main" id="{C3AFA008-1A7C-4713-8978-0BF78DB7F23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1450" y="4867275"/>
          <a:ext cx="7258050" cy="328728"/>
        </a:xfrm>
        <a:prstGeom prst="rect">
          <a:avLst/>
        </a:prstGeom>
      </xdr:spPr>
    </xdr:pic>
    <xdr:clientData/>
  </xdr:twoCellAnchor>
  <xdr:twoCellAnchor editAs="oneCell">
    <xdr:from>
      <xdr:col>4</xdr:col>
      <xdr:colOff>133350</xdr:colOff>
      <xdr:row>25</xdr:row>
      <xdr:rowOff>92329</xdr:rowOff>
    </xdr:from>
    <xdr:to>
      <xdr:col>5</xdr:col>
      <xdr:colOff>695325</xdr:colOff>
      <xdr:row>25</xdr:row>
      <xdr:rowOff>657225</xdr:rowOff>
    </xdr:to>
    <xdr:pic>
      <xdr:nvPicPr>
        <xdr:cNvPr id="4" name="Image 3">
          <a:hlinkClick xmlns:r="http://schemas.openxmlformats.org/officeDocument/2006/relationships" r:id="rId4"/>
          <a:extLst>
            <a:ext uri="{FF2B5EF4-FFF2-40B4-BE49-F238E27FC236}">
              <a16:creationId xmlns:a16="http://schemas.microsoft.com/office/drawing/2014/main" id="{8F26A35B-6E3E-49E2-8A11-5B8CE105F7D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181350" y="6026404"/>
          <a:ext cx="1323975" cy="564896"/>
        </a:xfrm>
        <a:prstGeom prst="rect">
          <a:avLst/>
        </a:prstGeom>
      </xdr:spPr>
    </xdr:pic>
    <xdr:clientData/>
  </xdr:twoCellAnchor>
  <xdr:twoCellAnchor editAs="oneCell">
    <xdr:from>
      <xdr:col>0</xdr:col>
      <xdr:colOff>304801</xdr:colOff>
      <xdr:row>25</xdr:row>
      <xdr:rowOff>57150</xdr:rowOff>
    </xdr:from>
    <xdr:to>
      <xdr:col>2</xdr:col>
      <xdr:colOff>304801</xdr:colOff>
      <xdr:row>25</xdr:row>
      <xdr:rowOff>698153</xdr:rowOff>
    </xdr:to>
    <xdr:pic>
      <xdr:nvPicPr>
        <xdr:cNvPr id="5" name="Image 4">
          <a:hlinkClick xmlns:r="http://schemas.openxmlformats.org/officeDocument/2006/relationships" r:id="rId6"/>
          <a:extLst>
            <a:ext uri="{FF2B5EF4-FFF2-40B4-BE49-F238E27FC236}">
              <a16:creationId xmlns:a16="http://schemas.microsoft.com/office/drawing/2014/main" id="{17C4EDD1-85F5-42AC-AE7A-803D9CE8CB9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4801" y="5991225"/>
          <a:ext cx="1524000" cy="64100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79569396144277" displayName="Tableau79569396144277" ref="A6:I82" totalsRowShown="0" headerRowDxfId="11" dataDxfId="9" headerRowBorderDxfId="10" headerRowCellStyle="Normal 2">
  <autoFilter ref="A6:I82" xr:uid="{00000000-0009-0000-0100-000001000000}"/>
  <tableColumns count="9">
    <tableColumn id="12" xr3:uid="{00000000-0010-0000-0000-00000C000000}" name="Colonne2" dataDxfId="8"/>
    <tableColumn id="7" xr3:uid="{00000000-0010-0000-0000-000007000000}" name="Troupeaux de 100 brebis pur sang" dataDxfId="7" dataCellStyle="Normal 2"/>
    <tableColumn id="15" xr3:uid="{00000000-0010-0000-0000-00000F000000}" name="Colonne3" dataDxfId="6"/>
    <tableColumn id="2" xr3:uid="{00000000-0010-0000-0000-000002000000}" name="Agneaux" dataDxfId="5"/>
    <tableColumn id="1" xr3:uid="{00000000-0010-0000-0000-000001000000}" name="Agnelles" dataDxfId="4"/>
    <tableColumn id="6" xr3:uid="{00000000-0010-0000-0000-000006000000}" name="Colonne4" dataDxfId="3"/>
    <tableColumn id="10" xr3:uid="{00000000-0010-0000-0000-00000A000000}" name="Agnelles32" dataDxfId="2"/>
    <tableColumn id="3" xr3:uid="{00000000-0010-0000-0000-000003000000}" name="Agnelles4" dataDxfId="1"/>
    <tableColumn id="9" xr3:uid="{00000000-0010-0000-0000-000009000000}" name="Agnelles5" dataDxfId="0">
      <calculatedColumnFormula>Tableau79569396144277[[#This Row],[Colonne4]]*Tableau79569396144277[[#This Row],[Agnelles32]]</calculatedColumnFormula>
    </tableColumn>
  </tableColumns>
  <tableStyleInfo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8"/>
  <sheetViews>
    <sheetView tabSelected="1" workbookViewId="0"/>
  </sheetViews>
  <sheetFormatPr baseColWidth="10" defaultRowHeight="15" x14ac:dyDescent="0.25"/>
  <sheetData>
    <row r="1" spans="1:10" x14ac:dyDescent="0.25">
      <c r="A1" s="505"/>
      <c r="B1" s="505"/>
      <c r="C1" s="505"/>
      <c r="D1" s="505"/>
      <c r="E1" s="505"/>
      <c r="F1" s="505"/>
      <c r="G1" s="505"/>
      <c r="H1" s="505"/>
      <c r="I1" s="505"/>
      <c r="J1" s="505"/>
    </row>
    <row r="2" spans="1:10" x14ac:dyDescent="0.25">
      <c r="A2" s="505"/>
      <c r="B2" s="505"/>
      <c r="C2" s="505"/>
      <c r="D2" s="505"/>
      <c r="E2" s="505"/>
      <c r="F2" s="505"/>
      <c r="G2" s="505"/>
      <c r="H2" s="505"/>
      <c r="I2" s="505"/>
      <c r="J2" s="505"/>
    </row>
    <row r="3" spans="1:10" x14ac:dyDescent="0.25">
      <c r="A3" s="505"/>
      <c r="B3" s="505"/>
      <c r="C3" s="505"/>
      <c r="D3" s="505"/>
      <c r="E3" s="505"/>
      <c r="F3" s="505"/>
      <c r="G3" s="505"/>
      <c r="H3" s="505"/>
      <c r="I3" s="505"/>
      <c r="J3" s="505"/>
    </row>
    <row r="4" spans="1:10" x14ac:dyDescent="0.25">
      <c r="A4" s="505"/>
      <c r="B4" s="505"/>
      <c r="C4" s="505"/>
      <c r="D4" s="505"/>
      <c r="E4" s="505"/>
      <c r="F4" s="505"/>
      <c r="G4" s="505"/>
      <c r="H4" s="505"/>
      <c r="I4" s="505"/>
      <c r="J4" s="505"/>
    </row>
    <row r="5" spans="1:10" x14ac:dyDescent="0.25">
      <c r="A5" s="505"/>
      <c r="B5" s="505"/>
      <c r="C5" s="505"/>
      <c r="D5" s="505"/>
      <c r="E5" s="505"/>
      <c r="F5" s="505"/>
      <c r="G5" s="505"/>
      <c r="H5" s="505"/>
      <c r="I5" s="505"/>
      <c r="J5" s="505"/>
    </row>
    <row r="6" spans="1:10" x14ac:dyDescent="0.25">
      <c r="A6" s="505"/>
      <c r="B6" s="505"/>
      <c r="C6" s="505"/>
      <c r="D6" s="505"/>
      <c r="E6" s="505"/>
      <c r="F6" s="505"/>
      <c r="G6" s="505"/>
      <c r="H6" s="505"/>
      <c r="I6" s="505"/>
      <c r="J6" s="505"/>
    </row>
    <row r="7" spans="1:10" x14ac:dyDescent="0.25">
      <c r="A7" s="505"/>
      <c r="B7" s="505"/>
      <c r="C7" s="505"/>
      <c r="D7" s="505"/>
      <c r="E7" s="505"/>
      <c r="F7" s="505"/>
      <c r="G7" s="505"/>
      <c r="H7" s="505"/>
      <c r="I7" s="505"/>
      <c r="J7" s="505"/>
    </row>
    <row r="8" spans="1:10" x14ac:dyDescent="0.25">
      <c r="A8" s="505"/>
      <c r="B8" s="505"/>
      <c r="C8" s="505"/>
      <c r="D8" s="505"/>
      <c r="E8" s="505"/>
      <c r="F8" s="505"/>
      <c r="G8" s="505"/>
      <c r="H8" s="505"/>
      <c r="I8" s="505"/>
      <c r="J8" s="505"/>
    </row>
    <row r="9" spans="1:10" x14ac:dyDescent="0.25">
      <c r="A9" s="505"/>
      <c r="B9" s="505"/>
      <c r="C9" s="505"/>
      <c r="D9" s="505"/>
      <c r="E9" s="505"/>
      <c r="F9" s="505"/>
      <c r="G9" s="505"/>
      <c r="H9" s="505"/>
      <c r="I9" s="505"/>
      <c r="J9" s="505"/>
    </row>
    <row r="10" spans="1:10" ht="28.5" x14ac:dyDescent="0.25">
      <c r="A10" s="552" t="s">
        <v>280</v>
      </c>
      <c r="B10" s="552"/>
      <c r="C10" s="552"/>
      <c r="D10" s="552"/>
      <c r="E10" s="552"/>
      <c r="F10" s="552"/>
      <c r="G10" s="552"/>
      <c r="H10" s="552"/>
      <c r="I10" s="552"/>
      <c r="J10" s="552"/>
    </row>
    <row r="11" spans="1:10" ht="28.5" x14ac:dyDescent="0.25">
      <c r="A11" s="552" t="s">
        <v>281</v>
      </c>
      <c r="B11" s="552"/>
      <c r="C11" s="552"/>
      <c r="D11" s="552"/>
      <c r="E11" s="552"/>
      <c r="F11" s="552"/>
      <c r="G11" s="552"/>
      <c r="H11" s="552"/>
      <c r="I11" s="552"/>
      <c r="J11" s="552"/>
    </row>
    <row r="12" spans="1:10" ht="28.5" customHeight="1" x14ac:dyDescent="0.25">
      <c r="A12" s="552" t="s">
        <v>284</v>
      </c>
      <c r="B12" s="552"/>
      <c r="C12" s="552"/>
      <c r="D12" s="552"/>
      <c r="E12" s="552"/>
      <c r="F12" s="552"/>
      <c r="G12" s="552"/>
      <c r="H12" s="552"/>
      <c r="I12" s="552"/>
      <c r="J12" s="552"/>
    </row>
    <row r="13" spans="1:10" x14ac:dyDescent="0.25">
      <c r="A13" s="505"/>
      <c r="B13" s="505"/>
      <c r="C13" s="505"/>
      <c r="D13" s="505"/>
      <c r="E13" s="505"/>
      <c r="F13" s="505"/>
      <c r="G13" s="505"/>
      <c r="H13" s="505"/>
      <c r="I13" s="505"/>
      <c r="J13" s="505"/>
    </row>
    <row r="14" spans="1:10" x14ac:dyDescent="0.25">
      <c r="A14" s="505"/>
      <c r="B14" s="505"/>
      <c r="C14" s="505"/>
      <c r="D14" s="505"/>
      <c r="E14" s="505"/>
      <c r="F14" s="505"/>
      <c r="G14" s="505"/>
      <c r="H14" s="505"/>
      <c r="I14" s="505"/>
      <c r="J14" s="505"/>
    </row>
    <row r="15" spans="1:10" ht="59.25" customHeight="1" x14ac:dyDescent="0.25">
      <c r="B15" s="553" t="s">
        <v>282</v>
      </c>
      <c r="C15" s="553"/>
      <c r="D15" s="553"/>
      <c r="E15" s="553"/>
      <c r="F15" s="553"/>
      <c r="G15" s="553"/>
      <c r="H15" s="553"/>
      <c r="I15" s="553"/>
      <c r="J15" s="506"/>
    </row>
    <row r="16" spans="1:10" x14ac:dyDescent="0.25">
      <c r="A16" s="505"/>
      <c r="B16" s="505"/>
      <c r="C16" s="505"/>
      <c r="D16" s="505"/>
      <c r="E16" s="505"/>
      <c r="F16" s="505"/>
      <c r="G16" s="505"/>
      <c r="H16" s="505"/>
      <c r="I16" s="505"/>
      <c r="J16" s="505"/>
    </row>
    <row r="17" spans="1:10" x14ac:dyDescent="0.25">
      <c r="A17" s="505"/>
      <c r="B17" s="505"/>
      <c r="C17" s="505"/>
      <c r="D17" s="505"/>
      <c r="E17" s="505"/>
      <c r="F17" s="505"/>
      <c r="G17" s="505"/>
      <c r="H17" s="505"/>
      <c r="I17" s="505"/>
      <c r="J17" s="505"/>
    </row>
    <row r="18" spans="1:10" x14ac:dyDescent="0.25">
      <c r="A18" s="505"/>
      <c r="B18" s="505"/>
      <c r="C18" s="505"/>
      <c r="D18" s="505"/>
      <c r="E18" s="505"/>
      <c r="F18" s="505"/>
      <c r="G18" s="505"/>
      <c r="H18" s="505"/>
      <c r="I18" s="505"/>
      <c r="J18" s="505"/>
    </row>
    <row r="19" spans="1:10" ht="18.75" x14ac:dyDescent="0.25">
      <c r="A19" s="554" t="s">
        <v>283</v>
      </c>
      <c r="B19" s="554"/>
      <c r="C19" s="554"/>
      <c r="D19" s="554"/>
      <c r="E19" s="554"/>
      <c r="F19" s="554"/>
      <c r="G19" s="554"/>
      <c r="H19" s="554"/>
      <c r="I19" s="554"/>
      <c r="J19" s="554"/>
    </row>
    <row r="20" spans="1:10" x14ac:dyDescent="0.25">
      <c r="A20" s="505"/>
      <c r="B20" s="505"/>
      <c r="C20" s="505"/>
      <c r="D20" s="505"/>
      <c r="E20" s="505"/>
      <c r="F20" s="505"/>
      <c r="G20" s="505"/>
      <c r="H20" s="505"/>
      <c r="I20" s="505"/>
      <c r="J20" s="505"/>
    </row>
    <row r="21" spans="1:10" x14ac:dyDescent="0.25">
      <c r="A21" s="505"/>
      <c r="B21" s="505"/>
      <c r="C21" s="505"/>
      <c r="D21" s="505"/>
      <c r="E21" s="505"/>
      <c r="F21" s="505"/>
      <c r="G21" s="505"/>
      <c r="H21" s="505"/>
      <c r="I21" s="505"/>
      <c r="J21" s="505"/>
    </row>
    <row r="22" spans="1:10" x14ac:dyDescent="0.25">
      <c r="A22" s="505"/>
      <c r="B22" s="505"/>
      <c r="C22" s="505"/>
      <c r="D22" s="505"/>
      <c r="E22" s="505"/>
      <c r="F22" s="505"/>
      <c r="G22" s="505"/>
      <c r="H22" s="505"/>
      <c r="I22" s="505"/>
      <c r="J22" s="505"/>
    </row>
    <row r="23" spans="1:10" x14ac:dyDescent="0.25">
      <c r="A23" s="505"/>
      <c r="B23" s="505"/>
      <c r="C23" s="505"/>
      <c r="D23" s="505"/>
      <c r="E23" s="505"/>
      <c r="F23" s="505"/>
      <c r="G23" s="505"/>
      <c r="H23" s="505"/>
      <c r="I23" s="505"/>
      <c r="J23" s="505"/>
    </row>
    <row r="24" spans="1:10" x14ac:dyDescent="0.25">
      <c r="A24" s="505"/>
      <c r="B24" s="505"/>
      <c r="C24" s="505"/>
      <c r="D24" s="505"/>
      <c r="E24" s="505"/>
      <c r="F24" s="505"/>
      <c r="G24" s="505"/>
      <c r="H24" s="505"/>
      <c r="I24" s="505"/>
      <c r="J24" s="505"/>
    </row>
    <row r="25" spans="1:10" ht="18.75" x14ac:dyDescent="0.25">
      <c r="A25" s="554" t="s">
        <v>285</v>
      </c>
      <c r="B25" s="554"/>
      <c r="C25" s="554"/>
      <c r="D25" s="554"/>
      <c r="E25" s="554"/>
      <c r="F25" s="554"/>
      <c r="G25" s="554"/>
      <c r="H25" s="554"/>
      <c r="I25" s="554"/>
      <c r="J25" s="554"/>
    </row>
    <row r="26" spans="1:10" ht="60" customHeight="1" x14ac:dyDescent="0.25">
      <c r="A26" s="505"/>
      <c r="B26" s="505"/>
      <c r="C26" s="505"/>
      <c r="D26" s="505"/>
      <c r="E26" s="505"/>
      <c r="F26" s="505"/>
      <c r="G26" s="505"/>
      <c r="H26" s="505"/>
      <c r="I26" s="550" t="s">
        <v>286</v>
      </c>
      <c r="J26" s="550"/>
    </row>
    <row r="27" spans="1:10" x14ac:dyDescent="0.25">
      <c r="A27" s="505"/>
      <c r="B27" s="505"/>
      <c r="C27" s="505"/>
      <c r="D27" s="505"/>
      <c r="E27" s="505"/>
      <c r="F27" s="505"/>
      <c r="G27" s="505"/>
      <c r="H27" s="505"/>
      <c r="I27" s="505"/>
      <c r="J27" s="505"/>
    </row>
    <row r="28" spans="1:10" x14ac:dyDescent="0.25">
      <c r="A28" s="551" t="s">
        <v>287</v>
      </c>
      <c r="B28" s="551"/>
      <c r="C28" s="551"/>
      <c r="D28" s="551"/>
      <c r="E28" s="551"/>
      <c r="F28" s="551"/>
      <c r="G28" s="551"/>
      <c r="H28" s="551"/>
      <c r="I28" s="551"/>
      <c r="J28" s="551"/>
    </row>
  </sheetData>
  <sheetProtection algorithmName="SHA-512" hashValue="+RlMcSSM8O4MJx5Xm59FwQdWd4tGf0jWTuiHpueYhh8M+gSqgItDDwKhcKw+jgtEosC4QLyBAMr+fkuByBMSVg==" saltValue="VcJCOtveZXIKlzAp01wZyQ==" spinCount="100000" sheet="1" objects="1" scenarios="1"/>
  <mergeCells count="8">
    <mergeCell ref="I26:J26"/>
    <mergeCell ref="A28:J28"/>
    <mergeCell ref="A10:J10"/>
    <mergeCell ref="A11:J11"/>
    <mergeCell ref="A12:J12"/>
    <mergeCell ref="B15:I15"/>
    <mergeCell ref="A19:J19"/>
    <mergeCell ref="A25:J25"/>
  </mergeCells>
  <printOptions horizontalCentered="1"/>
  <pageMargins left="0.70866141732283472" right="0.70866141732283472" top="0.55118110236220474" bottom="0.35433070866141736"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H28"/>
  <sheetViews>
    <sheetView workbookViewId="0">
      <selection sqref="A1:H2"/>
    </sheetView>
  </sheetViews>
  <sheetFormatPr baseColWidth="10" defaultRowHeight="15" x14ac:dyDescent="0.25"/>
  <cols>
    <col min="1" max="1" width="3.28515625" style="494" customWidth="1"/>
    <col min="2" max="7" width="11.42578125" style="494"/>
    <col min="8" max="8" width="27.85546875" style="494" customWidth="1"/>
    <col min="9" max="16384" width="11.42578125" style="1"/>
  </cols>
  <sheetData>
    <row r="1" spans="1:8" ht="21" customHeight="1" x14ac:dyDescent="0.25">
      <c r="A1" s="556" t="s">
        <v>269</v>
      </c>
      <c r="B1" s="556"/>
      <c r="C1" s="556"/>
      <c r="D1" s="556"/>
      <c r="E1" s="556"/>
      <c r="F1" s="556"/>
      <c r="G1" s="556"/>
      <c r="H1" s="556"/>
    </row>
    <row r="2" spans="1:8" ht="19.5" customHeight="1" x14ac:dyDescent="0.25">
      <c r="A2" s="556"/>
      <c r="B2" s="556"/>
      <c r="C2" s="556"/>
      <c r="D2" s="556"/>
      <c r="E2" s="556"/>
      <c r="F2" s="556"/>
      <c r="G2" s="556"/>
      <c r="H2" s="556"/>
    </row>
    <row r="3" spans="1:8" ht="15" customHeight="1" x14ac:dyDescent="0.25">
      <c r="A3" s="501"/>
      <c r="B3" s="501"/>
      <c r="C3" s="501"/>
      <c r="D3" s="501"/>
      <c r="E3" s="501"/>
      <c r="F3" s="501"/>
      <c r="G3" s="501"/>
      <c r="H3" s="501"/>
    </row>
    <row r="4" spans="1:8" ht="75" customHeight="1" x14ac:dyDescent="0.25">
      <c r="A4" s="557" t="s">
        <v>277</v>
      </c>
      <c r="B4" s="557"/>
      <c r="C4" s="557"/>
      <c r="D4" s="557"/>
      <c r="E4" s="557"/>
      <c r="F4" s="557"/>
      <c r="G4" s="557"/>
      <c r="H4" s="557"/>
    </row>
    <row r="5" spans="1:8" ht="12" customHeight="1" x14ac:dyDescent="0.25"/>
    <row r="6" spans="1:8" ht="15.75" x14ac:dyDescent="0.25">
      <c r="A6" s="495" t="s">
        <v>239</v>
      </c>
      <c r="B6" s="495"/>
      <c r="C6" s="495"/>
      <c r="D6" s="495"/>
      <c r="E6" s="495"/>
      <c r="F6" s="495"/>
      <c r="G6" s="495"/>
      <c r="H6" s="495"/>
    </row>
    <row r="7" spans="1:8" ht="45" customHeight="1" x14ac:dyDescent="0.25">
      <c r="A7" s="494" t="s">
        <v>238</v>
      </c>
      <c r="B7" s="555" t="s">
        <v>252</v>
      </c>
      <c r="C7" s="555"/>
      <c r="D7" s="555"/>
      <c r="E7" s="555"/>
      <c r="F7" s="555"/>
      <c r="G7" s="555"/>
      <c r="H7" s="555"/>
    </row>
    <row r="8" spans="1:8" ht="7.5" customHeight="1" x14ac:dyDescent="0.25"/>
    <row r="9" spans="1:8" ht="77.25" customHeight="1" x14ac:dyDescent="0.25">
      <c r="A9" s="494" t="s">
        <v>242</v>
      </c>
      <c r="B9" s="555" t="s">
        <v>253</v>
      </c>
      <c r="C9" s="555"/>
      <c r="D9" s="555"/>
      <c r="E9" s="555"/>
      <c r="F9" s="555"/>
      <c r="G9" s="555"/>
      <c r="H9" s="555"/>
    </row>
    <row r="10" spans="1:8" ht="7.5" customHeight="1" x14ac:dyDescent="0.25">
      <c r="B10" s="500"/>
      <c r="C10" s="500"/>
      <c r="D10" s="500"/>
      <c r="E10" s="500"/>
      <c r="F10" s="500"/>
      <c r="G10" s="500"/>
      <c r="H10" s="500"/>
    </row>
    <row r="11" spans="1:8" ht="29.25" customHeight="1" x14ac:dyDescent="0.25">
      <c r="A11" s="494" t="s">
        <v>244</v>
      </c>
      <c r="B11" s="555" t="s">
        <v>261</v>
      </c>
      <c r="C11" s="555"/>
      <c r="D11" s="555"/>
      <c r="E11" s="555"/>
      <c r="F11" s="555"/>
      <c r="G11" s="555"/>
      <c r="H11" s="555"/>
    </row>
    <row r="12" spans="1:8" ht="7.5" customHeight="1" x14ac:dyDescent="0.25">
      <c r="B12" s="500"/>
      <c r="C12" s="500"/>
      <c r="D12" s="500"/>
      <c r="E12" s="500"/>
      <c r="F12" s="500"/>
      <c r="G12" s="500"/>
      <c r="H12" s="500"/>
    </row>
    <row r="13" spans="1:8" ht="44.25" customHeight="1" x14ac:dyDescent="0.25">
      <c r="A13" s="494" t="s">
        <v>245</v>
      </c>
      <c r="B13" s="555" t="s">
        <v>265</v>
      </c>
      <c r="C13" s="555"/>
      <c r="D13" s="555"/>
      <c r="E13" s="555"/>
      <c r="F13" s="555"/>
      <c r="G13" s="555"/>
      <c r="H13" s="555"/>
    </row>
    <row r="14" spans="1:8" ht="9" customHeight="1" x14ac:dyDescent="0.25"/>
    <row r="15" spans="1:8" ht="15.75" x14ac:dyDescent="0.25">
      <c r="A15" s="496" t="s">
        <v>240</v>
      </c>
      <c r="B15" s="496"/>
      <c r="C15" s="496"/>
      <c r="D15" s="496"/>
      <c r="E15" s="496"/>
      <c r="F15" s="496"/>
      <c r="G15" s="496"/>
      <c r="H15" s="496"/>
    </row>
    <row r="16" spans="1:8" ht="45" customHeight="1" x14ac:dyDescent="0.25">
      <c r="A16" s="494" t="s">
        <v>246</v>
      </c>
      <c r="B16" s="555" t="s">
        <v>270</v>
      </c>
      <c r="C16" s="555"/>
      <c r="D16" s="555"/>
      <c r="E16" s="555"/>
      <c r="F16" s="555"/>
      <c r="G16" s="555"/>
      <c r="H16" s="555"/>
    </row>
    <row r="17" spans="1:8" ht="7.5" customHeight="1" x14ac:dyDescent="0.25"/>
    <row r="18" spans="1:8" ht="87.75" customHeight="1" x14ac:dyDescent="0.25">
      <c r="A18" s="494" t="s">
        <v>249</v>
      </c>
      <c r="B18" s="555" t="s">
        <v>268</v>
      </c>
      <c r="C18" s="555"/>
      <c r="D18" s="555"/>
      <c r="E18" s="555"/>
      <c r="F18" s="555"/>
      <c r="G18" s="555"/>
      <c r="H18" s="555"/>
    </row>
    <row r="19" spans="1:8" ht="10.5" customHeight="1" x14ac:dyDescent="0.25"/>
    <row r="20" spans="1:8" ht="15.75" x14ac:dyDescent="0.25">
      <c r="A20" s="497" t="s">
        <v>241</v>
      </c>
      <c r="B20" s="497"/>
      <c r="C20" s="497"/>
      <c r="D20" s="497"/>
      <c r="E20" s="497"/>
      <c r="F20" s="497"/>
      <c r="G20" s="497"/>
      <c r="H20" s="497"/>
    </row>
    <row r="21" spans="1:8" x14ac:dyDescent="0.25">
      <c r="A21" s="494" t="s">
        <v>250</v>
      </c>
      <c r="B21" s="494" t="s">
        <v>251</v>
      </c>
    </row>
    <row r="22" spans="1:8" ht="7.5" customHeight="1" x14ac:dyDescent="0.25"/>
    <row r="23" spans="1:8" ht="45" customHeight="1" x14ac:dyDescent="0.25">
      <c r="A23" s="494" t="s">
        <v>262</v>
      </c>
      <c r="B23" s="555" t="s">
        <v>247</v>
      </c>
      <c r="C23" s="555"/>
      <c r="D23" s="555"/>
      <c r="E23" s="555"/>
      <c r="F23" s="555"/>
      <c r="G23" s="555"/>
      <c r="H23" s="555"/>
    </row>
    <row r="24" spans="1:8" ht="5.25" customHeight="1" x14ac:dyDescent="0.25"/>
    <row r="25" spans="1:8" ht="43.5" customHeight="1" x14ac:dyDescent="0.25">
      <c r="A25" s="494" t="s">
        <v>264</v>
      </c>
      <c r="B25" s="555" t="s">
        <v>248</v>
      </c>
      <c r="C25" s="555"/>
      <c r="D25" s="555"/>
      <c r="E25" s="555"/>
      <c r="F25" s="555"/>
      <c r="G25" s="555"/>
      <c r="H25" s="555"/>
    </row>
    <row r="26" spans="1:8" ht="12" customHeight="1" x14ac:dyDescent="0.25"/>
    <row r="27" spans="1:8" ht="15.75" x14ac:dyDescent="0.25">
      <c r="A27" s="498" t="s">
        <v>266</v>
      </c>
      <c r="B27" s="499"/>
      <c r="C27" s="499"/>
      <c r="D27" s="499"/>
      <c r="E27" s="499"/>
      <c r="F27" s="499"/>
      <c r="G27" s="499"/>
      <c r="H27" s="499"/>
    </row>
    <row r="28" spans="1:8" ht="45" customHeight="1" x14ac:dyDescent="0.25">
      <c r="A28" s="555" t="s">
        <v>267</v>
      </c>
      <c r="B28" s="555"/>
      <c r="C28" s="555"/>
      <c r="D28" s="555"/>
      <c r="E28" s="555"/>
      <c r="F28" s="555"/>
      <c r="G28" s="555"/>
      <c r="H28" s="555"/>
    </row>
  </sheetData>
  <sheetProtection algorithmName="SHA-512" hashValue="wqgtXxvcmVdOlmFlK7v5LKHqx6USHFbocXPHh7rQI1LNyZSU8xrXJ3ah8vpOp+Wip2IVF2Hr4BJQIdYskgE5HQ==" saltValue="4QTK/DZKhRFoM9bi1qDPbg==" spinCount="100000" sheet="1" objects="1" scenarios="1"/>
  <mergeCells count="11">
    <mergeCell ref="B13:H13"/>
    <mergeCell ref="A1:H2"/>
    <mergeCell ref="A4:H4"/>
    <mergeCell ref="B7:H7"/>
    <mergeCell ref="B9:H9"/>
    <mergeCell ref="B11:H11"/>
    <mergeCell ref="B16:H16"/>
    <mergeCell ref="B18:H18"/>
    <mergeCell ref="B23:H23"/>
    <mergeCell ref="B25:H25"/>
    <mergeCell ref="A28:H28"/>
  </mergeCells>
  <printOptions horizontalCentered="1"/>
  <pageMargins left="0.31496062992125984" right="0.31496062992125984" top="0.35433070866141736" bottom="0.35433070866141736" header="0.31496062992125984" footer="0.31496062992125984"/>
  <pageSetup orientation="portrait" r:id="rId1"/>
  <headerFooter>
    <oddFooter xml:space="preserve">&amp;C&amp;9&amp;F&amp;R&amp;9Copyright © 2018   |   SEMRPQ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1:P144"/>
  <sheetViews>
    <sheetView zoomScale="80" zoomScaleNormal="80" workbookViewId="0">
      <selection sqref="A1:A3"/>
    </sheetView>
  </sheetViews>
  <sheetFormatPr baseColWidth="10" defaultRowHeight="15" x14ac:dyDescent="0.25"/>
  <cols>
    <col min="1" max="1" width="70.140625" style="271" customWidth="1"/>
    <col min="2" max="2" width="12.5703125" style="271" customWidth="1"/>
    <col min="3" max="3" width="19.140625" style="372" customWidth="1"/>
    <col min="4" max="4" width="11.42578125" style="271"/>
    <col min="5" max="5" width="19.28515625" style="372" customWidth="1"/>
    <col min="6" max="6" width="8.7109375" style="373" customWidth="1"/>
    <col min="7" max="7" width="72" style="370" customWidth="1"/>
    <col min="8" max="8" width="91.5703125" style="370" customWidth="1"/>
    <col min="9" max="9" width="5.85546875" style="271" customWidth="1"/>
    <col min="10" max="12" width="11.42578125" style="271" hidden="1" customWidth="1"/>
    <col min="13" max="16384" width="11.42578125" style="271"/>
  </cols>
  <sheetData>
    <row r="1" spans="1:15" ht="21" x14ac:dyDescent="0.25">
      <c r="A1" s="570" t="s">
        <v>32</v>
      </c>
      <c r="B1" s="575" t="s">
        <v>31</v>
      </c>
      <c r="C1" s="576"/>
      <c r="D1" s="587" t="s">
        <v>271</v>
      </c>
      <c r="E1" s="588"/>
      <c r="F1" s="588"/>
      <c r="G1" s="589"/>
      <c r="H1" s="563" t="s">
        <v>291</v>
      </c>
      <c r="I1" s="269"/>
      <c r="J1" s="413"/>
      <c r="K1" s="413"/>
      <c r="L1" s="414"/>
    </row>
    <row r="2" spans="1:15" x14ac:dyDescent="0.25">
      <c r="A2" s="571"/>
      <c r="B2" s="583" t="s">
        <v>29</v>
      </c>
      <c r="C2" s="585" t="s">
        <v>26</v>
      </c>
      <c r="D2" s="577" t="s">
        <v>27</v>
      </c>
      <c r="E2" s="578"/>
      <c r="F2" s="579" t="s">
        <v>30</v>
      </c>
      <c r="G2" s="581" t="s">
        <v>28</v>
      </c>
      <c r="H2" s="564"/>
      <c r="I2" s="269"/>
      <c r="J2" s="413"/>
      <c r="K2" s="413"/>
      <c r="L2" s="414"/>
    </row>
    <row r="3" spans="1:15" ht="15.75" thickBot="1" x14ac:dyDescent="0.3">
      <c r="A3" s="572"/>
      <c r="B3" s="584"/>
      <c r="C3" s="586"/>
      <c r="D3" s="272" t="s">
        <v>29</v>
      </c>
      <c r="E3" s="273" t="s">
        <v>26</v>
      </c>
      <c r="F3" s="580"/>
      <c r="G3" s="582"/>
      <c r="H3" s="564"/>
      <c r="I3" s="269"/>
      <c r="J3" s="413"/>
      <c r="K3" s="413"/>
      <c r="L3" s="414"/>
    </row>
    <row r="4" spans="1:15" ht="19.5" thickTop="1" x14ac:dyDescent="0.25">
      <c r="A4" s="274" t="s">
        <v>33</v>
      </c>
      <c r="B4" s="275"/>
      <c r="C4" s="276"/>
      <c r="D4" s="277"/>
      <c r="E4" s="276"/>
      <c r="F4" s="278"/>
      <c r="G4" s="279"/>
      <c r="H4" s="508"/>
      <c r="I4" s="269"/>
      <c r="J4" s="413"/>
      <c r="K4" s="413"/>
      <c r="L4" s="414"/>
    </row>
    <row r="5" spans="1:15" x14ac:dyDescent="0.25">
      <c r="A5" s="280" t="s">
        <v>33</v>
      </c>
      <c r="B5" s="14">
        <v>100</v>
      </c>
      <c r="C5" s="282" t="s">
        <v>34</v>
      </c>
      <c r="D5" s="381">
        <v>100</v>
      </c>
      <c r="E5" s="382" t="str">
        <f>C5</f>
        <v>brebis</v>
      </c>
      <c r="F5" s="285" t="s">
        <v>105</v>
      </c>
      <c r="G5" s="286"/>
      <c r="H5" s="509"/>
      <c r="I5" s="269"/>
      <c r="J5" s="413"/>
      <c r="K5" s="413"/>
      <c r="L5" s="414"/>
    </row>
    <row r="6" spans="1:15" ht="30" x14ac:dyDescent="0.25">
      <c r="A6" s="280" t="s">
        <v>45</v>
      </c>
      <c r="B6" s="14">
        <v>2.66</v>
      </c>
      <c r="C6" s="287" t="s">
        <v>236</v>
      </c>
      <c r="D6" s="381">
        <v>2.66</v>
      </c>
      <c r="E6" s="383" t="str">
        <f>C6</f>
        <v>agneaux sevrés/brebis/an</v>
      </c>
      <c r="F6" s="285" t="s">
        <v>105</v>
      </c>
      <c r="G6" s="288" t="s">
        <v>54</v>
      </c>
      <c r="H6" s="510"/>
      <c r="I6" s="269"/>
      <c r="J6" s="413"/>
      <c r="K6" s="413"/>
      <c r="L6" s="414"/>
    </row>
    <row r="7" spans="1:15" ht="30" x14ac:dyDescent="0.25">
      <c r="A7" s="280" t="s">
        <v>156</v>
      </c>
      <c r="B7" s="289">
        <v>260</v>
      </c>
      <c r="C7" s="382" t="s">
        <v>101</v>
      </c>
      <c r="D7" s="381">
        <v>260</v>
      </c>
      <c r="E7" s="382" t="str">
        <f>C7</f>
        <v xml:space="preserve">$/tête  </v>
      </c>
      <c r="F7" s="285" t="s">
        <v>106</v>
      </c>
      <c r="G7" s="288" t="s">
        <v>157</v>
      </c>
      <c r="H7" s="510"/>
      <c r="I7" s="269"/>
      <c r="J7" s="413"/>
      <c r="K7" s="413"/>
      <c r="L7" s="414"/>
    </row>
    <row r="8" spans="1:15" ht="18.75" x14ac:dyDescent="0.25">
      <c r="A8" s="291" t="s">
        <v>227</v>
      </c>
      <c r="B8" s="292"/>
      <c r="C8" s="293"/>
      <c r="D8" s="294"/>
      <c r="E8" s="293"/>
      <c r="F8" s="295"/>
      <c r="G8" s="296"/>
      <c r="H8" s="508"/>
      <c r="I8" s="269"/>
      <c r="J8" s="413"/>
      <c r="K8" s="413"/>
      <c r="L8" s="414"/>
    </row>
    <row r="9" spans="1:15" x14ac:dyDescent="0.25">
      <c r="A9" s="280" t="s">
        <v>46</v>
      </c>
      <c r="B9" s="17">
        <v>518</v>
      </c>
      <c r="C9" s="282" t="s">
        <v>24</v>
      </c>
      <c r="D9" s="384">
        <v>518</v>
      </c>
      <c r="E9" s="382" t="str">
        <f t="shared" ref="E9:E16" si="0">C9</f>
        <v>$/tête</v>
      </c>
      <c r="F9" s="285" t="s">
        <v>105</v>
      </c>
      <c r="G9" s="565" t="s">
        <v>55</v>
      </c>
      <c r="H9" s="558" t="s">
        <v>292</v>
      </c>
      <c r="I9" s="269"/>
      <c r="J9" s="413"/>
      <c r="K9" s="413"/>
      <c r="L9" s="414"/>
    </row>
    <row r="10" spans="1:15" x14ac:dyDescent="0.25">
      <c r="A10" s="280" t="s">
        <v>47</v>
      </c>
      <c r="B10" s="17">
        <v>976</v>
      </c>
      <c r="C10" s="282" t="s">
        <v>24</v>
      </c>
      <c r="D10" s="384">
        <v>976</v>
      </c>
      <c r="E10" s="382" t="str">
        <f t="shared" si="0"/>
        <v>$/tête</v>
      </c>
      <c r="F10" s="285" t="s">
        <v>105</v>
      </c>
      <c r="G10" s="567"/>
      <c r="H10" s="558"/>
      <c r="I10" s="269"/>
      <c r="J10" s="413"/>
      <c r="K10" s="413"/>
      <c r="L10" s="414"/>
    </row>
    <row r="11" spans="1:15" x14ac:dyDescent="0.25">
      <c r="A11" s="280" t="s">
        <v>53</v>
      </c>
      <c r="B11" s="17">
        <v>294</v>
      </c>
      <c r="C11" s="282" t="s">
        <v>24</v>
      </c>
      <c r="D11" s="384">
        <v>294</v>
      </c>
      <c r="E11" s="382" t="str">
        <f t="shared" si="0"/>
        <v>$/tête</v>
      </c>
      <c r="F11" s="285" t="s">
        <v>105</v>
      </c>
      <c r="G11" s="299" t="s">
        <v>151</v>
      </c>
      <c r="H11" s="558"/>
      <c r="I11" s="300"/>
      <c r="J11" s="301"/>
      <c r="K11" s="297"/>
      <c r="L11" s="298"/>
    </row>
    <row r="12" spans="1:15" x14ac:dyDescent="0.25">
      <c r="A12" s="280" t="s">
        <v>48</v>
      </c>
      <c r="B12" s="17">
        <v>753</v>
      </c>
      <c r="C12" s="282" t="s">
        <v>24</v>
      </c>
      <c r="D12" s="384">
        <v>753</v>
      </c>
      <c r="E12" s="382" t="str">
        <f t="shared" si="0"/>
        <v>$/tête</v>
      </c>
      <c r="F12" s="285" t="s">
        <v>105</v>
      </c>
      <c r="G12" s="299" t="s">
        <v>151</v>
      </c>
      <c r="H12" s="558"/>
      <c r="I12" s="300"/>
      <c r="J12" s="297"/>
      <c r="K12" s="297"/>
      <c r="L12" s="298"/>
    </row>
    <row r="13" spans="1:15" x14ac:dyDescent="0.25">
      <c r="A13" s="302" t="s">
        <v>49</v>
      </c>
      <c r="B13" s="14">
        <v>4</v>
      </c>
      <c r="C13" s="282" t="s">
        <v>61</v>
      </c>
      <c r="D13" s="381">
        <v>4</v>
      </c>
      <c r="E13" s="382" t="str">
        <f t="shared" si="0"/>
        <v>ans</v>
      </c>
      <c r="F13" s="285" t="s">
        <v>105</v>
      </c>
      <c r="G13" s="565" t="s">
        <v>56</v>
      </c>
      <c r="H13" s="558"/>
      <c r="I13" s="269"/>
      <c r="J13" s="270"/>
      <c r="K13" s="270"/>
    </row>
    <row r="14" spans="1:15" x14ac:dyDescent="0.25">
      <c r="A14" s="302" t="s">
        <v>50</v>
      </c>
      <c r="B14" s="14">
        <v>2.5</v>
      </c>
      <c r="C14" s="282" t="s">
        <v>61</v>
      </c>
      <c r="D14" s="381">
        <v>2.5</v>
      </c>
      <c r="E14" s="382" t="str">
        <f t="shared" si="0"/>
        <v>ans</v>
      </c>
      <c r="F14" s="285" t="s">
        <v>105</v>
      </c>
      <c r="G14" s="567"/>
      <c r="H14" s="558"/>
      <c r="I14" s="269"/>
      <c r="J14" s="270"/>
      <c r="K14" s="270"/>
    </row>
    <row r="15" spans="1:15" x14ac:dyDescent="0.25">
      <c r="A15" s="302" t="s">
        <v>51</v>
      </c>
      <c r="B15" s="14">
        <v>5.5</v>
      </c>
      <c r="C15" s="282" t="s">
        <v>61</v>
      </c>
      <c r="D15" s="381">
        <v>5.5</v>
      </c>
      <c r="E15" s="382" t="str">
        <f t="shared" si="0"/>
        <v>ans</v>
      </c>
      <c r="F15" s="285" t="s">
        <v>105</v>
      </c>
      <c r="G15" s="573" t="s">
        <v>189</v>
      </c>
      <c r="H15" s="558"/>
      <c r="I15" s="300"/>
      <c r="J15" s="297"/>
      <c r="K15" s="298"/>
      <c r="L15" s="298"/>
      <c r="M15" s="298"/>
      <c r="N15" s="298"/>
      <c r="O15" s="298"/>
    </row>
    <row r="16" spans="1:15" x14ac:dyDescent="0.25">
      <c r="A16" s="302" t="s">
        <v>52</v>
      </c>
      <c r="B16" s="14">
        <v>5</v>
      </c>
      <c r="C16" s="282" t="s">
        <v>61</v>
      </c>
      <c r="D16" s="381">
        <v>5</v>
      </c>
      <c r="E16" s="382" t="str">
        <f t="shared" si="0"/>
        <v>ans</v>
      </c>
      <c r="F16" s="285" t="s">
        <v>105</v>
      </c>
      <c r="G16" s="574"/>
      <c r="H16" s="558"/>
      <c r="I16" s="300"/>
      <c r="J16" s="297"/>
      <c r="K16" s="297"/>
      <c r="L16" s="298"/>
      <c r="M16" s="298"/>
      <c r="N16" s="298"/>
      <c r="O16" s="298"/>
    </row>
    <row r="17" spans="1:16" x14ac:dyDescent="0.25">
      <c r="A17" s="280" t="s">
        <v>62</v>
      </c>
      <c r="B17" s="386">
        <f>((B9/B13)-(B11/B15))/B6</f>
        <v>28.588516746411482</v>
      </c>
      <c r="C17" s="382" t="s">
        <v>13</v>
      </c>
      <c r="D17" s="384">
        <f>((D9/D13)-(D11/D15))/D6</f>
        <v>28.588516746411482</v>
      </c>
      <c r="E17" s="382" t="s">
        <v>13</v>
      </c>
      <c r="F17" s="285" t="s">
        <v>44</v>
      </c>
      <c r="G17" s="303" t="s">
        <v>209</v>
      </c>
      <c r="H17" s="558"/>
      <c r="I17" s="269"/>
      <c r="J17" s="297"/>
      <c r="K17" s="297"/>
      <c r="L17" s="298"/>
      <c r="M17" s="298"/>
    </row>
    <row r="18" spans="1:16" x14ac:dyDescent="0.25">
      <c r="A18" s="280" t="s">
        <v>63</v>
      </c>
      <c r="B18" s="387">
        <f>((B10/B14)-(B12/B16))/(B6*20)</f>
        <v>4.507518796992481</v>
      </c>
      <c r="C18" s="382" t="s">
        <v>13</v>
      </c>
      <c r="D18" s="385">
        <f>((D10/D14)-(D12/D16))/(D6*20)</f>
        <v>4.507518796992481</v>
      </c>
      <c r="E18" s="382" t="s">
        <v>13</v>
      </c>
      <c r="F18" s="285" t="s">
        <v>44</v>
      </c>
      <c r="G18" s="303" t="s">
        <v>202</v>
      </c>
      <c r="H18" s="558"/>
      <c r="I18" s="269"/>
      <c r="J18" s="297"/>
      <c r="K18" s="297"/>
      <c r="L18" s="298"/>
      <c r="M18" s="298"/>
    </row>
    <row r="19" spans="1:16" ht="18.75" x14ac:dyDescent="0.25">
      <c r="A19" s="291" t="s">
        <v>17</v>
      </c>
      <c r="B19" s="292"/>
      <c r="C19" s="293"/>
      <c r="D19" s="294"/>
      <c r="E19" s="293"/>
      <c r="F19" s="295"/>
      <c r="G19" s="296"/>
      <c r="H19" s="508"/>
      <c r="I19" s="269"/>
      <c r="J19" s="270"/>
      <c r="K19" s="270"/>
    </row>
    <row r="20" spans="1:16" ht="15" customHeight="1" x14ac:dyDescent="0.25">
      <c r="A20" s="280" t="s">
        <v>72</v>
      </c>
      <c r="B20" s="388">
        <f>3/B6</f>
        <v>1.1278195488721805</v>
      </c>
      <c r="C20" s="382" t="s">
        <v>102</v>
      </c>
      <c r="D20" s="390">
        <f>3/D6</f>
        <v>1.1278195488721805</v>
      </c>
      <c r="E20" s="382" t="s">
        <v>102</v>
      </c>
      <c r="F20" s="285" t="s">
        <v>106</v>
      </c>
      <c r="G20" s="565" t="s">
        <v>56</v>
      </c>
      <c r="H20" s="558" t="s">
        <v>293</v>
      </c>
      <c r="I20" s="269"/>
      <c r="J20" s="270"/>
      <c r="K20" s="270"/>
    </row>
    <row r="21" spans="1:16" x14ac:dyDescent="0.25">
      <c r="A21" s="280" t="s">
        <v>123</v>
      </c>
      <c r="B21" s="362">
        <v>4</v>
      </c>
      <c r="C21" s="382" t="s">
        <v>102</v>
      </c>
      <c r="D21" s="381">
        <v>4</v>
      </c>
      <c r="E21" s="382" t="s">
        <v>102</v>
      </c>
      <c r="F21" s="285" t="s">
        <v>106</v>
      </c>
      <c r="G21" s="566"/>
      <c r="H21" s="558"/>
      <c r="I21" s="269"/>
      <c r="J21" s="270"/>
      <c r="K21" s="270"/>
    </row>
    <row r="22" spans="1:16" ht="17.25" x14ac:dyDescent="0.25">
      <c r="A22" s="280" t="s">
        <v>124</v>
      </c>
      <c r="B22" s="362">
        <v>15</v>
      </c>
      <c r="C22" s="382" t="s">
        <v>102</v>
      </c>
      <c r="D22" s="381">
        <v>15</v>
      </c>
      <c r="E22" s="382" t="s">
        <v>102</v>
      </c>
      <c r="F22" s="285" t="s">
        <v>106</v>
      </c>
      <c r="G22" s="566"/>
      <c r="H22" s="558"/>
      <c r="I22" s="269"/>
      <c r="J22" s="270"/>
      <c r="K22" s="270"/>
    </row>
    <row r="23" spans="1:16" x14ac:dyDescent="0.25">
      <c r="A23" s="280" t="s">
        <v>119</v>
      </c>
      <c r="B23" s="362">
        <v>5</v>
      </c>
      <c r="C23" s="382" t="s">
        <v>102</v>
      </c>
      <c r="D23" s="381">
        <v>5</v>
      </c>
      <c r="E23" s="382" t="s">
        <v>102</v>
      </c>
      <c r="F23" s="285" t="s">
        <v>106</v>
      </c>
      <c r="G23" s="566"/>
      <c r="H23" s="558"/>
      <c r="I23" s="269"/>
      <c r="J23" s="270"/>
      <c r="K23" s="270"/>
    </row>
    <row r="24" spans="1:16" ht="17.25" x14ac:dyDescent="0.25">
      <c r="A24" s="280" t="s">
        <v>125</v>
      </c>
      <c r="B24" s="362">
        <v>8</v>
      </c>
      <c r="C24" s="382" t="s">
        <v>102</v>
      </c>
      <c r="D24" s="381">
        <v>8</v>
      </c>
      <c r="E24" s="382" t="s">
        <v>102</v>
      </c>
      <c r="F24" s="285" t="s">
        <v>106</v>
      </c>
      <c r="G24" s="566"/>
      <c r="H24" s="558"/>
      <c r="I24" s="269"/>
      <c r="J24" s="270"/>
      <c r="K24" s="270"/>
    </row>
    <row r="25" spans="1:16" x14ac:dyDescent="0.25">
      <c r="A25" s="280" t="s">
        <v>122</v>
      </c>
      <c r="B25" s="362">
        <v>10</v>
      </c>
      <c r="C25" s="382" t="s">
        <v>102</v>
      </c>
      <c r="D25" s="381">
        <v>10</v>
      </c>
      <c r="E25" s="382" t="s">
        <v>102</v>
      </c>
      <c r="F25" s="285" t="s">
        <v>106</v>
      </c>
      <c r="G25" s="566"/>
      <c r="H25" s="558"/>
      <c r="I25" s="269"/>
      <c r="J25" s="270"/>
      <c r="K25" s="270"/>
    </row>
    <row r="26" spans="1:16" x14ac:dyDescent="0.25">
      <c r="A26" s="280" t="s">
        <v>73</v>
      </c>
      <c r="B26" s="362">
        <v>6</v>
      </c>
      <c r="C26" s="382" t="s">
        <v>102</v>
      </c>
      <c r="D26" s="381">
        <v>6</v>
      </c>
      <c r="E26" s="382" t="s">
        <v>102</v>
      </c>
      <c r="F26" s="285" t="s">
        <v>106</v>
      </c>
      <c r="G26" s="566"/>
      <c r="H26" s="558"/>
      <c r="I26" s="269"/>
      <c r="J26" s="270"/>
      <c r="K26" s="270"/>
    </row>
    <row r="27" spans="1:16" ht="30" customHeight="1" x14ac:dyDescent="0.25">
      <c r="A27" s="280" t="s">
        <v>153</v>
      </c>
      <c r="B27" s="504">
        <v>3</v>
      </c>
      <c r="C27" s="284" t="s">
        <v>102</v>
      </c>
      <c r="D27" s="395">
        <v>3</v>
      </c>
      <c r="E27" s="382" t="s">
        <v>102</v>
      </c>
      <c r="F27" s="305" t="s">
        <v>105</v>
      </c>
      <c r="G27" s="303" t="s">
        <v>103</v>
      </c>
      <c r="H27" s="558"/>
      <c r="I27" s="269"/>
      <c r="J27" s="270"/>
      <c r="K27" s="270"/>
    </row>
    <row r="28" spans="1:16" x14ac:dyDescent="0.25">
      <c r="A28" s="280" t="s">
        <v>149</v>
      </c>
      <c r="B28" s="14">
        <v>20</v>
      </c>
      <c r="C28" s="284" t="s">
        <v>102</v>
      </c>
      <c r="D28" s="381">
        <v>20</v>
      </c>
      <c r="E28" s="382" t="s">
        <v>102</v>
      </c>
      <c r="F28" s="285" t="s">
        <v>105</v>
      </c>
      <c r="G28" s="286" t="s">
        <v>25</v>
      </c>
      <c r="H28" s="558"/>
      <c r="I28" s="269"/>
      <c r="J28" s="270"/>
      <c r="K28" s="270"/>
      <c r="L28" s="308"/>
      <c r="M28" s="298"/>
      <c r="N28" s="298"/>
      <c r="O28" s="298"/>
      <c r="P28" s="298"/>
    </row>
    <row r="29" spans="1:16" ht="30" x14ac:dyDescent="0.25">
      <c r="A29" s="309" t="s">
        <v>155</v>
      </c>
      <c r="B29" s="362">
        <v>90</v>
      </c>
      <c r="C29" s="382" t="s">
        <v>102</v>
      </c>
      <c r="D29" s="381">
        <v>90</v>
      </c>
      <c r="E29" s="382" t="s">
        <v>102</v>
      </c>
      <c r="F29" s="285" t="s">
        <v>106</v>
      </c>
      <c r="G29" s="565" t="s">
        <v>56</v>
      </c>
      <c r="H29" s="558"/>
      <c r="I29" s="269"/>
      <c r="J29" s="270"/>
      <c r="K29" s="270"/>
      <c r="L29" s="308"/>
      <c r="M29" s="298"/>
      <c r="N29" s="298"/>
      <c r="O29" s="298"/>
      <c r="P29" s="298"/>
    </row>
    <row r="30" spans="1:16" x14ac:dyDescent="0.25">
      <c r="A30" s="280" t="s">
        <v>126</v>
      </c>
      <c r="B30" s="362">
        <v>20</v>
      </c>
      <c r="C30" s="382" t="s">
        <v>102</v>
      </c>
      <c r="D30" s="381">
        <v>20</v>
      </c>
      <c r="E30" s="382" t="s">
        <v>102</v>
      </c>
      <c r="F30" s="285" t="s">
        <v>106</v>
      </c>
      <c r="G30" s="567"/>
      <c r="H30" s="558"/>
      <c r="I30" s="269"/>
      <c r="J30" s="270"/>
      <c r="K30" s="270"/>
      <c r="L30" s="298"/>
      <c r="M30" s="298"/>
      <c r="N30" s="298"/>
      <c r="O30" s="298"/>
      <c r="P30" s="298"/>
    </row>
    <row r="31" spans="1:16" x14ac:dyDescent="0.25">
      <c r="A31" s="310" t="s">
        <v>146</v>
      </c>
      <c r="B31" s="389">
        <v>17.760000000000002</v>
      </c>
      <c r="C31" s="382" t="s">
        <v>11</v>
      </c>
      <c r="D31" s="391">
        <v>17.760000000000002</v>
      </c>
      <c r="E31" s="382" t="s">
        <v>11</v>
      </c>
      <c r="F31" s="285" t="s">
        <v>106</v>
      </c>
      <c r="G31" s="286" t="s">
        <v>150</v>
      </c>
      <c r="H31" s="558"/>
      <c r="I31" s="269"/>
      <c r="J31" s="270"/>
      <c r="K31" s="270"/>
    </row>
    <row r="32" spans="1:16" ht="18.75" x14ac:dyDescent="0.25">
      <c r="A32" s="291" t="s">
        <v>43</v>
      </c>
      <c r="B32" s="292"/>
      <c r="C32" s="293"/>
      <c r="D32" s="294"/>
      <c r="E32" s="293"/>
      <c r="F32" s="295"/>
      <c r="G32" s="296"/>
      <c r="H32" s="508"/>
      <c r="I32" s="269"/>
      <c r="J32" s="270"/>
      <c r="K32" s="270"/>
    </row>
    <row r="33" spans="1:13" ht="15" customHeight="1" x14ac:dyDescent="0.25">
      <c r="A33" s="280" t="s">
        <v>73</v>
      </c>
      <c r="B33" s="17">
        <v>46.34</v>
      </c>
      <c r="C33" s="282" t="s">
        <v>24</v>
      </c>
      <c r="D33" s="384">
        <v>46.34</v>
      </c>
      <c r="E33" s="382" t="s">
        <v>24</v>
      </c>
      <c r="F33" s="285" t="s">
        <v>105</v>
      </c>
      <c r="G33" s="286" t="s">
        <v>290</v>
      </c>
      <c r="H33" s="621" t="s">
        <v>294</v>
      </c>
      <c r="I33" s="269"/>
      <c r="J33" s="270"/>
      <c r="K33" s="270"/>
    </row>
    <row r="34" spans="1:13" ht="30" x14ac:dyDescent="0.25">
      <c r="A34" s="302" t="s">
        <v>129</v>
      </c>
      <c r="B34" s="386">
        <f>26.8/20</f>
        <v>1.34</v>
      </c>
      <c r="C34" s="392" t="s">
        <v>24</v>
      </c>
      <c r="D34" s="386">
        <f>26.8/20</f>
        <v>1.34</v>
      </c>
      <c r="E34" s="382" t="s">
        <v>24</v>
      </c>
      <c r="F34" s="285" t="s">
        <v>106</v>
      </c>
      <c r="G34" s="286" t="s">
        <v>104</v>
      </c>
      <c r="H34" s="509"/>
      <c r="I34" s="269"/>
      <c r="J34" s="270"/>
      <c r="K34" s="270"/>
    </row>
    <row r="35" spans="1:13" x14ac:dyDescent="0.25">
      <c r="A35" s="302" t="s">
        <v>84</v>
      </c>
      <c r="B35" s="386">
        <v>25</v>
      </c>
      <c r="C35" s="382" t="s">
        <v>24</v>
      </c>
      <c r="D35" s="384">
        <v>25</v>
      </c>
      <c r="E35" s="382" t="s">
        <v>24</v>
      </c>
      <c r="F35" s="285" t="s">
        <v>106</v>
      </c>
      <c r="G35" s="286" t="s">
        <v>18</v>
      </c>
      <c r="H35" s="509"/>
      <c r="I35" s="269"/>
      <c r="J35" s="270"/>
      <c r="K35" s="270"/>
    </row>
    <row r="36" spans="1:13" ht="15" customHeight="1" x14ac:dyDescent="0.25">
      <c r="A36" s="280" t="s">
        <v>82</v>
      </c>
      <c r="B36" s="386">
        <v>12</v>
      </c>
      <c r="C36" s="382" t="s">
        <v>24</v>
      </c>
      <c r="D36" s="384">
        <v>12</v>
      </c>
      <c r="E36" s="382" t="s">
        <v>24</v>
      </c>
      <c r="F36" s="285" t="s">
        <v>106</v>
      </c>
      <c r="G36" s="286"/>
      <c r="H36" s="509"/>
      <c r="I36" s="269"/>
      <c r="J36" s="270"/>
      <c r="K36" s="270"/>
    </row>
    <row r="37" spans="1:13" ht="24.75" customHeight="1" x14ac:dyDescent="0.25">
      <c r="A37" s="280" t="s">
        <v>300</v>
      </c>
      <c r="B37" s="534"/>
      <c r="C37" s="382" t="s">
        <v>24</v>
      </c>
      <c r="D37" s="384">
        <v>0</v>
      </c>
      <c r="E37" s="382" t="s">
        <v>24</v>
      </c>
      <c r="F37" s="285" t="s">
        <v>105</v>
      </c>
      <c r="G37" s="286"/>
      <c r="H37" s="619" t="s">
        <v>303</v>
      </c>
      <c r="I37" s="269"/>
      <c r="J37" s="270"/>
      <c r="K37" s="270"/>
    </row>
    <row r="38" spans="1:13" ht="24.75" customHeight="1" x14ac:dyDescent="0.25">
      <c r="A38" s="280" t="s">
        <v>301</v>
      </c>
      <c r="B38" s="543"/>
      <c r="C38" s="382" t="s">
        <v>24</v>
      </c>
      <c r="D38" s="384">
        <v>0</v>
      </c>
      <c r="E38" s="382" t="s">
        <v>24</v>
      </c>
      <c r="F38" s="285" t="s">
        <v>105</v>
      </c>
      <c r="G38" s="286"/>
      <c r="H38" s="620"/>
      <c r="I38" s="269"/>
      <c r="J38" s="270"/>
      <c r="K38" s="270"/>
    </row>
    <row r="39" spans="1:13" ht="62.25" customHeight="1" x14ac:dyDescent="0.25">
      <c r="A39" s="280" t="s">
        <v>83</v>
      </c>
      <c r="B39" s="386">
        <v>12</v>
      </c>
      <c r="C39" s="382" t="s">
        <v>24</v>
      </c>
      <c r="D39" s="384">
        <v>12</v>
      </c>
      <c r="E39" s="382" t="s">
        <v>24</v>
      </c>
      <c r="F39" s="285" t="s">
        <v>106</v>
      </c>
      <c r="G39" s="286" t="s">
        <v>289</v>
      </c>
      <c r="H39" s="558" t="s">
        <v>294</v>
      </c>
      <c r="I39" s="269"/>
      <c r="J39" s="270"/>
      <c r="K39" s="270"/>
    </row>
    <row r="40" spans="1:13" x14ac:dyDescent="0.25">
      <c r="A40" s="280" t="s">
        <v>184</v>
      </c>
      <c r="B40" s="386">
        <v>500</v>
      </c>
      <c r="C40" s="392" t="s">
        <v>181</v>
      </c>
      <c r="D40" s="386">
        <v>500</v>
      </c>
      <c r="E40" s="382" t="s">
        <v>181</v>
      </c>
      <c r="F40" s="285" t="s">
        <v>106</v>
      </c>
      <c r="G40" s="565" t="s">
        <v>151</v>
      </c>
      <c r="H40" s="558"/>
      <c r="I40" s="269"/>
      <c r="J40" s="270"/>
    </row>
    <row r="41" spans="1:13" x14ac:dyDescent="0.25">
      <c r="A41" s="280" t="s">
        <v>218</v>
      </c>
      <c r="B41" s="386">
        <v>0.18</v>
      </c>
      <c r="C41" s="392" t="s">
        <v>217</v>
      </c>
      <c r="D41" s="386">
        <v>0.18</v>
      </c>
      <c r="E41" s="392" t="s">
        <v>217</v>
      </c>
      <c r="F41" s="285" t="s">
        <v>106</v>
      </c>
      <c r="G41" s="567"/>
      <c r="H41" s="558"/>
      <c r="I41" s="269"/>
      <c r="J41" s="270"/>
    </row>
    <row r="42" spans="1:13" ht="18.75" x14ac:dyDescent="0.25">
      <c r="A42" s="291" t="s">
        <v>9</v>
      </c>
      <c r="B42" s="292"/>
      <c r="C42" s="293"/>
      <c r="D42" s="294"/>
      <c r="E42" s="293"/>
      <c r="F42" s="295"/>
      <c r="G42" s="296"/>
      <c r="H42" s="508"/>
      <c r="I42" s="269"/>
      <c r="J42" s="297"/>
      <c r="K42" s="297"/>
      <c r="L42" s="298"/>
      <c r="M42" s="298"/>
    </row>
    <row r="43" spans="1:13" ht="30" x14ac:dyDescent="0.25">
      <c r="A43" s="304" t="s">
        <v>148</v>
      </c>
      <c r="B43" s="14">
        <v>20</v>
      </c>
      <c r="C43" s="282" t="s">
        <v>20</v>
      </c>
      <c r="D43" s="394">
        <v>20</v>
      </c>
      <c r="E43" s="382" t="s">
        <v>20</v>
      </c>
      <c r="F43" s="305" t="s">
        <v>105</v>
      </c>
      <c r="G43" s="303" t="s">
        <v>56</v>
      </c>
      <c r="H43" s="511"/>
      <c r="I43" s="269"/>
      <c r="J43" s="297"/>
      <c r="K43" s="297"/>
      <c r="L43" s="298"/>
      <c r="M43" s="298"/>
    </row>
    <row r="44" spans="1:13" hidden="1" x14ac:dyDescent="0.25">
      <c r="A44" s="306" t="s">
        <v>175</v>
      </c>
      <c r="B44" s="386">
        <f>+(30*1.86+70*1.4+30*0.75+10*1.12+3*2.23)/100</f>
        <v>1.9419</v>
      </c>
      <c r="C44" s="382" t="s">
        <v>35</v>
      </c>
      <c r="D44" s="384">
        <f>+(30*1.86+70*1.4+30*0.75+10*1.12+3*2.23)/100</f>
        <v>1.9419</v>
      </c>
      <c r="E44" s="382" t="s">
        <v>35</v>
      </c>
      <c r="F44" s="285" t="s">
        <v>106</v>
      </c>
      <c r="G44" s="573" t="s">
        <v>180</v>
      </c>
      <c r="H44" s="512"/>
      <c r="I44" s="269"/>
      <c r="J44" s="270"/>
      <c r="K44" s="270"/>
    </row>
    <row r="45" spans="1:13" hidden="1" x14ac:dyDescent="0.25">
      <c r="A45" s="306" t="s">
        <v>176</v>
      </c>
      <c r="B45" s="386">
        <f>+B44*(1+(B43/100))</f>
        <v>2.3302799999999997</v>
      </c>
      <c r="C45" s="382" t="s">
        <v>35</v>
      </c>
      <c r="D45" s="384">
        <f>+D44*(1+(D43/100))</f>
        <v>2.3302799999999997</v>
      </c>
      <c r="E45" s="382" t="s">
        <v>35</v>
      </c>
      <c r="F45" s="285" t="s">
        <v>106</v>
      </c>
      <c r="G45" s="574"/>
      <c r="H45" s="512"/>
      <c r="I45" s="269"/>
      <c r="J45" s="270"/>
      <c r="K45" s="270"/>
    </row>
    <row r="46" spans="1:13" hidden="1" x14ac:dyDescent="0.25">
      <c r="A46" s="306" t="s">
        <v>178</v>
      </c>
      <c r="B46" s="386">
        <f>+B45-B44</f>
        <v>0.38837999999999973</v>
      </c>
      <c r="C46" s="382" t="s">
        <v>35</v>
      </c>
      <c r="D46" s="384">
        <f>+D45-D44</f>
        <v>0.38837999999999973</v>
      </c>
      <c r="E46" s="382"/>
      <c r="F46" s="285" t="s">
        <v>44</v>
      </c>
      <c r="G46" s="307" t="s">
        <v>204</v>
      </c>
      <c r="H46" s="513"/>
      <c r="I46" s="269"/>
      <c r="J46" s="270"/>
      <c r="K46" s="270"/>
    </row>
    <row r="47" spans="1:13" hidden="1" x14ac:dyDescent="0.25">
      <c r="A47" s="306" t="s">
        <v>65</v>
      </c>
      <c r="B47" s="362">
        <v>68</v>
      </c>
      <c r="C47" s="382" t="s">
        <v>20</v>
      </c>
      <c r="D47" s="394">
        <v>68</v>
      </c>
      <c r="E47" s="382" t="s">
        <v>20</v>
      </c>
      <c r="F47" s="285" t="s">
        <v>106</v>
      </c>
      <c r="G47" s="565" t="s">
        <v>57</v>
      </c>
      <c r="H47" s="514"/>
      <c r="I47" s="269"/>
      <c r="J47" s="270"/>
      <c r="K47" s="270"/>
    </row>
    <row r="48" spans="1:13" hidden="1" x14ac:dyDescent="0.25">
      <c r="A48" s="306" t="s">
        <v>64</v>
      </c>
      <c r="B48" s="362">
        <v>32</v>
      </c>
      <c r="C48" s="382" t="s">
        <v>20</v>
      </c>
      <c r="D48" s="394">
        <v>32</v>
      </c>
      <c r="E48" s="382" t="s">
        <v>20</v>
      </c>
      <c r="F48" s="285" t="s">
        <v>106</v>
      </c>
      <c r="G48" s="567"/>
      <c r="H48" s="514"/>
      <c r="I48" s="269"/>
      <c r="J48" s="270"/>
      <c r="K48" s="270"/>
    </row>
    <row r="49" spans="1:16" hidden="1" x14ac:dyDescent="0.25">
      <c r="A49" s="306" t="s">
        <v>66</v>
      </c>
      <c r="B49" s="393">
        <v>540</v>
      </c>
      <c r="C49" s="382" t="s">
        <v>10</v>
      </c>
      <c r="D49" s="395">
        <v>540</v>
      </c>
      <c r="E49" s="382" t="s">
        <v>10</v>
      </c>
      <c r="F49" s="285" t="s">
        <v>106</v>
      </c>
      <c r="G49" s="565" t="s">
        <v>58</v>
      </c>
      <c r="H49" s="514"/>
      <c r="I49" s="269"/>
      <c r="J49" s="270"/>
      <c r="K49" s="270"/>
    </row>
    <row r="50" spans="1:16" hidden="1" x14ac:dyDescent="0.25">
      <c r="A50" s="306" t="s">
        <v>67</v>
      </c>
      <c r="B50" s="393">
        <v>430</v>
      </c>
      <c r="C50" s="382" t="s">
        <v>10</v>
      </c>
      <c r="D50" s="395">
        <v>430</v>
      </c>
      <c r="E50" s="382" t="s">
        <v>10</v>
      </c>
      <c r="F50" s="285" t="s">
        <v>106</v>
      </c>
      <c r="G50" s="567"/>
      <c r="H50" s="514"/>
      <c r="I50" s="269"/>
      <c r="J50" s="270"/>
      <c r="K50" s="270"/>
    </row>
    <row r="51" spans="1:16" hidden="1" x14ac:dyDescent="0.25">
      <c r="A51" s="306" t="s">
        <v>68</v>
      </c>
      <c r="B51" s="393">
        <f>(B49*B47%)+(B50*B48%)</f>
        <v>504.80000000000007</v>
      </c>
      <c r="C51" s="382" t="s">
        <v>10</v>
      </c>
      <c r="D51" s="395">
        <f>(D49*D47%)+(D50*D48%)</f>
        <v>504.80000000000007</v>
      </c>
      <c r="E51" s="382" t="s">
        <v>10</v>
      </c>
      <c r="F51" s="305" t="s">
        <v>44</v>
      </c>
      <c r="G51" s="303" t="s">
        <v>203</v>
      </c>
      <c r="H51" s="511"/>
      <c r="I51" s="300"/>
      <c r="J51" s="297"/>
      <c r="K51" s="297"/>
      <c r="L51" s="298"/>
      <c r="M51" s="298"/>
      <c r="N51" s="298"/>
      <c r="O51" s="298"/>
    </row>
    <row r="52" spans="1:16" hidden="1" x14ac:dyDescent="0.25">
      <c r="A52" s="306" t="s">
        <v>69</v>
      </c>
      <c r="B52" s="362">
        <v>7.03</v>
      </c>
      <c r="C52" s="382" t="s">
        <v>20</v>
      </c>
      <c r="D52" s="394">
        <v>7.03</v>
      </c>
      <c r="E52" s="382" t="s">
        <v>20</v>
      </c>
      <c r="F52" s="305" t="s">
        <v>106</v>
      </c>
      <c r="G52" s="286" t="s">
        <v>59</v>
      </c>
      <c r="H52" s="509"/>
      <c r="I52" s="269"/>
      <c r="J52" s="270"/>
      <c r="K52" s="270"/>
    </row>
    <row r="53" spans="1:16" hidden="1" x14ac:dyDescent="0.25">
      <c r="A53" s="306" t="s">
        <v>70</v>
      </c>
      <c r="B53" s="386">
        <f>+B51*B52/100</f>
        <v>35.487440000000007</v>
      </c>
      <c r="C53" s="382" t="s">
        <v>10</v>
      </c>
      <c r="D53" s="384">
        <f>+D51*D52/100</f>
        <v>35.487440000000007</v>
      </c>
      <c r="E53" s="382" t="s">
        <v>10</v>
      </c>
      <c r="F53" s="305" t="s">
        <v>44</v>
      </c>
      <c r="G53" s="286" t="s">
        <v>205</v>
      </c>
      <c r="H53" s="509"/>
      <c r="I53" s="269"/>
      <c r="J53" s="270"/>
      <c r="K53" s="270"/>
    </row>
    <row r="54" spans="1:16" x14ac:dyDescent="0.25">
      <c r="A54" s="302" t="s">
        <v>71</v>
      </c>
      <c r="B54" s="386">
        <f>+B53*B46</f>
        <v>13.782611947199992</v>
      </c>
      <c r="C54" s="382" t="s">
        <v>177</v>
      </c>
      <c r="D54" s="384">
        <f>+D53*D46</f>
        <v>13.782611947199992</v>
      </c>
      <c r="E54" s="382" t="s">
        <v>177</v>
      </c>
      <c r="F54" s="305" t="s">
        <v>44</v>
      </c>
      <c r="G54" s="303" t="s">
        <v>255</v>
      </c>
      <c r="H54" s="511"/>
      <c r="I54" s="300"/>
      <c r="J54" s="297"/>
      <c r="K54" s="270"/>
    </row>
    <row r="55" spans="1:16" ht="18.75" x14ac:dyDescent="0.25">
      <c r="A55" s="291" t="s">
        <v>36</v>
      </c>
      <c r="B55" s="292"/>
      <c r="C55" s="293"/>
      <c r="D55" s="294"/>
      <c r="E55" s="293"/>
      <c r="F55" s="295"/>
      <c r="G55" s="296"/>
      <c r="H55" s="508"/>
      <c r="I55" s="269"/>
      <c r="J55" s="311"/>
      <c r="K55" s="312" t="s">
        <v>188</v>
      </c>
      <c r="L55" s="311"/>
      <c r="M55" s="298"/>
      <c r="N55" s="298"/>
      <c r="O55" s="298"/>
      <c r="P55" s="298"/>
    </row>
    <row r="56" spans="1:16" ht="15" customHeight="1" x14ac:dyDescent="0.25">
      <c r="A56" s="313" t="s">
        <v>138</v>
      </c>
      <c r="B56" s="517">
        <v>24</v>
      </c>
      <c r="C56" s="282" t="s">
        <v>12</v>
      </c>
      <c r="D56" s="520">
        <v>24</v>
      </c>
      <c r="E56" s="382" t="s">
        <v>12</v>
      </c>
      <c r="F56" s="285" t="s">
        <v>105</v>
      </c>
      <c r="G56" s="565" t="s">
        <v>56</v>
      </c>
      <c r="H56" s="558" t="s">
        <v>295</v>
      </c>
      <c r="I56" s="269"/>
      <c r="J56" s="281">
        <f>B56+(B$5*B$6/2*B57%)</f>
        <v>24</v>
      </c>
      <c r="K56" s="301"/>
      <c r="L56" s="314">
        <f>D56+(D$5*D$6/2*D57%)</f>
        <v>24</v>
      </c>
      <c r="M56" s="298"/>
      <c r="N56" s="298"/>
      <c r="O56" s="298"/>
      <c r="P56" s="298"/>
    </row>
    <row r="57" spans="1:16" x14ac:dyDescent="0.25">
      <c r="A57" s="493" t="s">
        <v>237</v>
      </c>
      <c r="B57" s="529"/>
      <c r="C57" s="315" t="s">
        <v>20</v>
      </c>
      <c r="D57" s="530"/>
      <c r="E57" s="398" t="s">
        <v>20</v>
      </c>
      <c r="F57" s="316" t="s">
        <v>105</v>
      </c>
      <c r="G57" s="566"/>
      <c r="H57" s="558"/>
      <c r="I57" s="269"/>
      <c r="J57" s="317"/>
      <c r="K57" s="297"/>
      <c r="L57" s="318"/>
      <c r="M57" s="298"/>
      <c r="N57" s="298"/>
      <c r="O57" s="298"/>
      <c r="P57" s="298"/>
    </row>
    <row r="58" spans="1:16" x14ac:dyDescent="0.25">
      <c r="A58" s="313" t="s">
        <v>139</v>
      </c>
      <c r="B58" s="523">
        <v>24</v>
      </c>
      <c r="C58" s="282" t="s">
        <v>12</v>
      </c>
      <c r="D58" s="526">
        <v>24</v>
      </c>
      <c r="E58" s="382" t="s">
        <v>12</v>
      </c>
      <c r="F58" s="285" t="s">
        <v>105</v>
      </c>
      <c r="G58" s="566"/>
      <c r="H58" s="558"/>
      <c r="I58" s="269"/>
      <c r="J58" s="281">
        <f>B58+(B$5*B$6/2*B59%)</f>
        <v>24</v>
      </c>
      <c r="K58" s="297"/>
      <c r="L58" s="314">
        <f>D58+(D$5*D$6/2*D59%)</f>
        <v>24</v>
      </c>
      <c r="M58" s="298"/>
      <c r="N58" s="298"/>
      <c r="O58" s="298"/>
      <c r="P58" s="298"/>
    </row>
    <row r="59" spans="1:16" x14ac:dyDescent="0.25">
      <c r="A59" s="493" t="s">
        <v>237</v>
      </c>
      <c r="B59" s="531"/>
      <c r="C59" s="315" t="s">
        <v>20</v>
      </c>
      <c r="D59" s="532"/>
      <c r="E59" s="398" t="s">
        <v>20</v>
      </c>
      <c r="F59" s="316" t="s">
        <v>105</v>
      </c>
      <c r="G59" s="566"/>
      <c r="H59" s="558"/>
      <c r="I59" s="269"/>
      <c r="J59" s="317"/>
      <c r="K59" s="297"/>
      <c r="L59" s="318"/>
      <c r="M59" s="298"/>
      <c r="N59" s="298"/>
      <c r="O59" s="298"/>
      <c r="P59" s="298"/>
    </row>
    <row r="60" spans="1:16" x14ac:dyDescent="0.25">
      <c r="A60" s="313" t="s">
        <v>140</v>
      </c>
      <c r="B60" s="517">
        <v>93</v>
      </c>
      <c r="C60" s="282" t="s">
        <v>12</v>
      </c>
      <c r="D60" s="520">
        <v>93</v>
      </c>
      <c r="E60" s="382" t="s">
        <v>12</v>
      </c>
      <c r="F60" s="285" t="s">
        <v>105</v>
      </c>
      <c r="G60" s="566"/>
      <c r="H60" s="558"/>
      <c r="I60" s="269"/>
      <c r="J60" s="281">
        <f>B60+(B$5*B$6/2*B61%)</f>
        <v>93</v>
      </c>
      <c r="K60" s="270"/>
      <c r="L60" s="314">
        <f>D60+(D$5*D$6/2*D61%)</f>
        <v>93</v>
      </c>
    </row>
    <row r="61" spans="1:16" x14ac:dyDescent="0.25">
      <c r="A61" s="493" t="s">
        <v>237</v>
      </c>
      <c r="B61" s="529"/>
      <c r="C61" s="315" t="s">
        <v>20</v>
      </c>
      <c r="D61" s="530"/>
      <c r="E61" s="398" t="s">
        <v>20</v>
      </c>
      <c r="F61" s="316" t="s">
        <v>105</v>
      </c>
      <c r="G61" s="566"/>
      <c r="H61" s="558"/>
      <c r="I61" s="269"/>
      <c r="J61" s="319"/>
      <c r="K61" s="270"/>
      <c r="L61" s="320"/>
    </row>
    <row r="62" spans="1:16" x14ac:dyDescent="0.25">
      <c r="A62" s="313" t="s">
        <v>141</v>
      </c>
      <c r="B62" s="523">
        <v>29</v>
      </c>
      <c r="C62" s="282" t="s">
        <v>12</v>
      </c>
      <c r="D62" s="526">
        <v>29</v>
      </c>
      <c r="E62" s="382" t="s">
        <v>12</v>
      </c>
      <c r="F62" s="285" t="s">
        <v>105</v>
      </c>
      <c r="G62" s="566"/>
      <c r="H62" s="558"/>
      <c r="I62" s="269"/>
      <c r="J62" s="281">
        <f>B62+(B$5*B$6/2*B63%)</f>
        <v>29</v>
      </c>
      <c r="K62" s="270"/>
      <c r="L62" s="314">
        <f>D62+(D$5*D$6/2*D63%)</f>
        <v>29</v>
      </c>
    </row>
    <row r="63" spans="1:16" x14ac:dyDescent="0.25">
      <c r="A63" s="493" t="s">
        <v>237</v>
      </c>
      <c r="B63" s="531"/>
      <c r="C63" s="315" t="s">
        <v>20</v>
      </c>
      <c r="D63" s="532"/>
      <c r="E63" s="398" t="s">
        <v>20</v>
      </c>
      <c r="F63" s="316" t="s">
        <v>105</v>
      </c>
      <c r="G63" s="566"/>
      <c r="H63" s="558"/>
      <c r="I63" s="269"/>
      <c r="J63" s="319"/>
      <c r="K63" s="270"/>
      <c r="L63" s="320"/>
    </row>
    <row r="64" spans="1:16" x14ac:dyDescent="0.25">
      <c r="A64" s="313" t="s">
        <v>142</v>
      </c>
      <c r="B64" s="517">
        <v>1</v>
      </c>
      <c r="C64" s="282" t="s">
        <v>12</v>
      </c>
      <c r="D64" s="520">
        <v>1</v>
      </c>
      <c r="E64" s="382" t="s">
        <v>12</v>
      </c>
      <c r="F64" s="285" t="s">
        <v>105</v>
      </c>
      <c r="G64" s="566"/>
      <c r="H64" s="558"/>
      <c r="I64" s="269"/>
      <c r="J64" s="281">
        <f>B64+(B$5*B$6/2*B65%)</f>
        <v>1</v>
      </c>
      <c r="K64" s="270"/>
      <c r="L64" s="314">
        <f>D64+(D$5*D$6/2*D65%)</f>
        <v>1</v>
      </c>
    </row>
    <row r="65" spans="1:12" x14ac:dyDescent="0.25">
      <c r="A65" s="493" t="s">
        <v>237</v>
      </c>
      <c r="B65" s="529"/>
      <c r="C65" s="315" t="s">
        <v>20</v>
      </c>
      <c r="D65" s="530"/>
      <c r="E65" s="398" t="s">
        <v>20</v>
      </c>
      <c r="F65" s="316" t="s">
        <v>105</v>
      </c>
      <c r="G65" s="566"/>
      <c r="H65" s="558"/>
      <c r="I65" s="269"/>
      <c r="J65" s="319"/>
      <c r="K65" s="270"/>
      <c r="L65" s="320"/>
    </row>
    <row r="66" spans="1:12" x14ac:dyDescent="0.25">
      <c r="A66" s="313" t="s">
        <v>143</v>
      </c>
      <c r="B66" s="523">
        <v>1</v>
      </c>
      <c r="C66" s="282" t="s">
        <v>12</v>
      </c>
      <c r="D66" s="526">
        <v>1</v>
      </c>
      <c r="E66" s="382" t="s">
        <v>12</v>
      </c>
      <c r="F66" s="285" t="s">
        <v>105</v>
      </c>
      <c r="G66" s="566"/>
      <c r="H66" s="558"/>
      <c r="I66" s="269"/>
      <c r="J66" s="281">
        <f>B66+(B$5*B$6/2*B67%)</f>
        <v>1</v>
      </c>
      <c r="K66" s="270"/>
      <c r="L66" s="314">
        <f>D66+(D$5*D$6/2*D67%)</f>
        <v>1</v>
      </c>
    </row>
    <row r="67" spans="1:12" x14ac:dyDescent="0.25">
      <c r="A67" s="493" t="s">
        <v>237</v>
      </c>
      <c r="B67" s="531"/>
      <c r="C67" s="315" t="s">
        <v>20</v>
      </c>
      <c r="D67" s="532"/>
      <c r="E67" s="398" t="s">
        <v>20</v>
      </c>
      <c r="F67" s="316" t="s">
        <v>105</v>
      </c>
      <c r="G67" s="590"/>
      <c r="H67" s="558"/>
      <c r="I67" s="269"/>
      <c r="J67" s="319"/>
      <c r="K67" s="270"/>
      <c r="L67" s="320"/>
    </row>
    <row r="68" spans="1:12" x14ac:dyDescent="0.25">
      <c r="A68" s="321" t="s">
        <v>273</v>
      </c>
      <c r="B68" s="518">
        <f>IF(ISBLANK(J56),((B5*B6/2)-((B5*B6/2)*(J57+J61+J65)))/(B5*B6/2)*100,(((B5*B6)/2)-J56-J60-J64)/((B5*B6)/2)*100)</f>
        <v>11.278195488721805</v>
      </c>
      <c r="C68" s="396" t="s">
        <v>133</v>
      </c>
      <c r="D68" s="521">
        <f>IF(ISBLANK(L56),((D5*D6/2)-((D5*D6/2)*(L57+L61+L65)))/(D5*D6/2)*100,(((D5*D6)/2)-L56-L60-L64)/((D5*D6)/2)*100)</f>
        <v>11.278195488721805</v>
      </c>
      <c r="E68" s="396" t="s">
        <v>133</v>
      </c>
      <c r="F68" s="323" t="s">
        <v>44</v>
      </c>
      <c r="G68" s="324"/>
      <c r="H68" s="558"/>
      <c r="I68" s="269"/>
      <c r="K68" s="270"/>
    </row>
    <row r="69" spans="1:12" x14ac:dyDescent="0.25">
      <c r="A69" s="302" t="s">
        <v>274</v>
      </c>
      <c r="B69" s="519">
        <f>IF(ISBLANK(J56),ROUND(((B5*B6/2)-((B5*B6/2)*(J57+J61+J65))),0),ROUND((((B5*B6)/2)-J56-J60-J64),0))</f>
        <v>15</v>
      </c>
      <c r="C69" s="382" t="s">
        <v>21</v>
      </c>
      <c r="D69" s="522">
        <f>IF(ISBLANK(L56),ROUND(((D5*D6/2)-((D5*D6/2)*(L57+L61+L65))),0),ROUND((((D5*D6)/2)-L56-L60-L64),0))</f>
        <v>15</v>
      </c>
      <c r="E69" s="382" t="s">
        <v>21</v>
      </c>
      <c r="F69" s="285" t="s">
        <v>44</v>
      </c>
      <c r="G69" s="286"/>
      <c r="H69" s="558"/>
      <c r="I69" s="269"/>
      <c r="J69" s="325"/>
      <c r="K69" s="270"/>
    </row>
    <row r="70" spans="1:12" x14ac:dyDescent="0.25">
      <c r="A70" s="302" t="s">
        <v>275</v>
      </c>
      <c r="B70" s="524">
        <f>IF(ISBLANK(J58),((B5*B6/2)-((B5*B6/2)*(J59+J63+J67)))/(B5*B6/2)*100,(((B5*B6)/2)-J58-J62-J66)/((B5*B6)/2)*100)</f>
        <v>59.398496240601503</v>
      </c>
      <c r="C70" s="382" t="s">
        <v>134</v>
      </c>
      <c r="D70" s="527">
        <f>IF(ISBLANK(L58),((D5*D6/2)-((D5*D6/2)*(L59+L63+L67)))/(D5*D6/2)*100,(((D5*D6)/2)-L58-L62-L66)/((D5*D6)/2)*100)</f>
        <v>59.398496240601503</v>
      </c>
      <c r="E70" s="382" t="s">
        <v>134</v>
      </c>
      <c r="F70" s="285" t="s">
        <v>44</v>
      </c>
      <c r="G70" s="286"/>
      <c r="H70" s="558"/>
      <c r="I70" s="269"/>
      <c r="J70" s="270"/>
      <c r="K70" s="270"/>
    </row>
    <row r="71" spans="1:12" x14ac:dyDescent="0.25">
      <c r="A71" s="302" t="s">
        <v>276</v>
      </c>
      <c r="B71" s="525">
        <f>IF(ISBLANK(J58),ROUND(((B5*B6/2)-((B5*B6/2)*(J59+J63+J67))),0),ROUND((((B5*B6)/2)-J58-J62-J66),0))</f>
        <v>79</v>
      </c>
      <c r="C71" s="382" t="s">
        <v>132</v>
      </c>
      <c r="D71" s="528">
        <f>IF(ISBLANK(L58),ROUND(((D5*D6/2)-((D5*D6/2)*(L59+L63+L67))),0),ROUND((((D5*D6)/2)-L58-L62-L66),0))</f>
        <v>79</v>
      </c>
      <c r="E71" s="382" t="s">
        <v>132</v>
      </c>
      <c r="F71" s="285" t="s">
        <v>44</v>
      </c>
      <c r="G71" s="286"/>
      <c r="H71" s="558"/>
      <c r="I71" s="269"/>
      <c r="J71" s="326"/>
      <c r="K71" s="270"/>
    </row>
    <row r="72" spans="1:12" ht="18.75" x14ac:dyDescent="0.25">
      <c r="A72" s="291" t="s">
        <v>144</v>
      </c>
      <c r="B72" s="292"/>
      <c r="C72" s="293"/>
      <c r="D72" s="294"/>
      <c r="E72" s="293"/>
      <c r="F72" s="295"/>
      <c r="G72" s="296"/>
      <c r="H72" s="508"/>
      <c r="I72" s="269"/>
      <c r="J72" s="270"/>
      <c r="K72" s="270"/>
    </row>
    <row r="73" spans="1:12" x14ac:dyDescent="0.25">
      <c r="A73" s="280" t="s">
        <v>186</v>
      </c>
      <c r="B73" s="362">
        <v>0.13200000000000001</v>
      </c>
      <c r="C73" s="382" t="s">
        <v>14</v>
      </c>
      <c r="D73" s="381">
        <v>0.13200000000000001</v>
      </c>
      <c r="E73" s="382" t="s">
        <v>14</v>
      </c>
      <c r="F73" s="285" t="s">
        <v>106</v>
      </c>
      <c r="G73" s="327" t="s">
        <v>151</v>
      </c>
      <c r="H73" s="561" t="s">
        <v>296</v>
      </c>
      <c r="I73" s="269"/>
      <c r="J73" s="270"/>
      <c r="K73" s="270"/>
    </row>
    <row r="74" spans="1:12" x14ac:dyDescent="0.25">
      <c r="A74" s="328" t="s">
        <v>187</v>
      </c>
      <c r="B74" s="16">
        <v>50</v>
      </c>
      <c r="C74" s="284" t="s">
        <v>20</v>
      </c>
      <c r="D74" s="402">
        <v>50</v>
      </c>
      <c r="E74" s="382" t="s">
        <v>20</v>
      </c>
      <c r="F74" s="285" t="s">
        <v>105</v>
      </c>
      <c r="G74" s="303"/>
      <c r="H74" s="561"/>
      <c r="I74" s="300"/>
      <c r="J74" s="270"/>
      <c r="K74" s="270"/>
    </row>
    <row r="75" spans="1:12" x14ac:dyDescent="0.25">
      <c r="A75" s="313" t="s">
        <v>85</v>
      </c>
      <c r="B75" s="399">
        <f>B73*(B74/85)</f>
        <v>7.7647058823529416E-2</v>
      </c>
      <c r="C75" s="400" t="s">
        <v>14</v>
      </c>
      <c r="D75" s="401">
        <f>D73*(D74/85)</f>
        <v>7.7647058823529416E-2</v>
      </c>
      <c r="E75" s="400" t="s">
        <v>14</v>
      </c>
      <c r="F75" s="329" t="s">
        <v>44</v>
      </c>
      <c r="G75" s="330" t="s">
        <v>254</v>
      </c>
      <c r="H75" s="561"/>
      <c r="I75" s="300"/>
      <c r="J75" s="270"/>
      <c r="K75" s="270"/>
    </row>
    <row r="76" spans="1:12" x14ac:dyDescent="0.25">
      <c r="A76" s="331" t="s">
        <v>135</v>
      </c>
      <c r="B76" s="332"/>
      <c r="C76" s="333"/>
      <c r="D76" s="334"/>
      <c r="E76" s="333"/>
      <c r="F76" s="335"/>
      <c r="G76" s="336"/>
      <c r="H76" s="561"/>
      <c r="I76" s="300"/>
      <c r="J76" s="270"/>
      <c r="K76" s="270"/>
    </row>
    <row r="77" spans="1:12" x14ac:dyDescent="0.25">
      <c r="A77" s="337" t="s">
        <v>86</v>
      </c>
      <c r="B77" s="29">
        <v>0.2</v>
      </c>
      <c r="C77" s="282" t="s">
        <v>14</v>
      </c>
      <c r="D77" s="403">
        <v>0.2</v>
      </c>
      <c r="E77" s="382" t="s">
        <v>14</v>
      </c>
      <c r="F77" s="285" t="s">
        <v>105</v>
      </c>
      <c r="G77" s="591" t="s">
        <v>150</v>
      </c>
      <c r="H77" s="561"/>
      <c r="I77" s="269"/>
      <c r="J77" s="270"/>
      <c r="K77" s="270"/>
    </row>
    <row r="78" spans="1:12" x14ac:dyDescent="0.25">
      <c r="A78" s="337" t="s">
        <v>87</v>
      </c>
      <c r="B78" s="15">
        <v>0.20499999999999999</v>
      </c>
      <c r="C78" s="282" t="s">
        <v>14</v>
      </c>
      <c r="D78" s="381">
        <v>0.20499999999999999</v>
      </c>
      <c r="E78" s="382" t="s">
        <v>14</v>
      </c>
      <c r="F78" s="285" t="s">
        <v>105</v>
      </c>
      <c r="G78" s="592"/>
      <c r="H78" s="561"/>
      <c r="I78" s="269"/>
      <c r="J78" s="270"/>
      <c r="K78" s="270"/>
    </row>
    <row r="79" spans="1:12" x14ac:dyDescent="0.25">
      <c r="A79" s="339" t="s">
        <v>88</v>
      </c>
      <c r="B79" s="20">
        <v>0.21199999999999999</v>
      </c>
      <c r="C79" s="315" t="s">
        <v>14</v>
      </c>
      <c r="D79" s="397">
        <v>0.21199999999999999</v>
      </c>
      <c r="E79" s="398" t="s">
        <v>14</v>
      </c>
      <c r="F79" s="316" t="s">
        <v>105</v>
      </c>
      <c r="G79" s="592"/>
      <c r="H79" s="561"/>
      <c r="I79" s="269"/>
      <c r="J79" s="270"/>
      <c r="K79" s="270"/>
    </row>
    <row r="80" spans="1:12" x14ac:dyDescent="0.25">
      <c r="A80" s="321" t="s">
        <v>76</v>
      </c>
      <c r="B80" s="28">
        <v>0.67900000000000005</v>
      </c>
      <c r="C80" s="322" t="s">
        <v>23</v>
      </c>
      <c r="D80" s="404">
        <v>0.67900000000000005</v>
      </c>
      <c r="E80" s="396" t="s">
        <v>14</v>
      </c>
      <c r="F80" s="323" t="s">
        <v>105</v>
      </c>
      <c r="G80" s="592"/>
      <c r="H80" s="561"/>
      <c r="I80" s="269"/>
      <c r="J80" s="270"/>
      <c r="K80" s="270"/>
    </row>
    <row r="81" spans="1:11" x14ac:dyDescent="0.25">
      <c r="A81" s="280" t="s">
        <v>16</v>
      </c>
      <c r="B81" s="14">
        <v>1.079</v>
      </c>
      <c r="C81" s="284" t="s">
        <v>14</v>
      </c>
      <c r="D81" s="381">
        <v>1.079</v>
      </c>
      <c r="E81" s="382" t="s">
        <v>14</v>
      </c>
      <c r="F81" s="340" t="s">
        <v>105</v>
      </c>
      <c r="G81" s="592"/>
      <c r="H81" s="561"/>
      <c r="I81" s="269"/>
      <c r="J81" s="270"/>
      <c r="K81" s="270"/>
    </row>
    <row r="82" spans="1:11" ht="15.75" thickBot="1" x14ac:dyDescent="0.3">
      <c r="A82" s="341" t="s">
        <v>174</v>
      </c>
      <c r="B82" s="19">
        <v>0.47599999999999998</v>
      </c>
      <c r="C82" s="342" t="s">
        <v>14</v>
      </c>
      <c r="D82" s="405">
        <v>0.47599999999999998</v>
      </c>
      <c r="E82" s="406" t="s">
        <v>14</v>
      </c>
      <c r="F82" s="343" t="s">
        <v>105</v>
      </c>
      <c r="G82" s="593"/>
      <c r="H82" s="562"/>
      <c r="I82" s="269"/>
      <c r="J82" s="270"/>
      <c r="K82" s="270"/>
    </row>
    <row r="83" spans="1:11" ht="18.75" x14ac:dyDescent="0.25">
      <c r="A83" s="623" t="s">
        <v>37</v>
      </c>
      <c r="B83" s="292"/>
      <c r="C83" s="293"/>
      <c r="D83" s="294"/>
      <c r="E83" s="293"/>
      <c r="F83" s="295"/>
      <c r="G83" s="296"/>
      <c r="H83" s="508"/>
      <c r="I83" s="269"/>
      <c r="J83" s="270"/>
      <c r="K83" s="270"/>
    </row>
    <row r="84" spans="1:11" x14ac:dyDescent="0.25">
      <c r="A84" s="344" t="s">
        <v>171</v>
      </c>
      <c r="B84" s="345"/>
      <c r="C84" s="346"/>
      <c r="D84" s="347"/>
      <c r="E84" s="346"/>
      <c r="F84" s="348"/>
      <c r="G84" s="349"/>
      <c r="H84" s="515"/>
      <c r="I84" s="269"/>
      <c r="J84" s="270"/>
      <c r="K84" s="270"/>
    </row>
    <row r="85" spans="1:11" x14ac:dyDescent="0.25">
      <c r="A85" s="350" t="s">
        <v>210</v>
      </c>
      <c r="B85" s="533">
        <v>0.42</v>
      </c>
      <c r="C85" s="284" t="s">
        <v>15</v>
      </c>
      <c r="D85" s="538">
        <v>0.42</v>
      </c>
      <c r="E85" s="284" t="s">
        <v>15</v>
      </c>
      <c r="F85" s="285" t="s">
        <v>105</v>
      </c>
      <c r="G85" s="565" t="s">
        <v>60</v>
      </c>
      <c r="H85" s="558" t="s">
        <v>297</v>
      </c>
      <c r="I85" s="269"/>
      <c r="J85" s="270"/>
      <c r="K85" s="270"/>
    </row>
    <row r="86" spans="1:11" x14ac:dyDescent="0.25">
      <c r="A86" s="351" t="s">
        <v>107</v>
      </c>
      <c r="B86" s="338"/>
      <c r="C86" s="352"/>
      <c r="D86" s="353"/>
      <c r="E86" s="352"/>
      <c r="F86" s="354"/>
      <c r="G86" s="566"/>
      <c r="H86" s="558"/>
      <c r="I86" s="269"/>
      <c r="J86" s="270"/>
      <c r="K86" s="270"/>
    </row>
    <row r="87" spans="1:11" x14ac:dyDescent="0.25">
      <c r="A87" s="355" t="s">
        <v>75</v>
      </c>
      <c r="B87" s="533">
        <v>1.38</v>
      </c>
      <c r="C87" s="284" t="s">
        <v>15</v>
      </c>
      <c r="D87" s="538">
        <v>1.38</v>
      </c>
      <c r="E87" s="284" t="s">
        <v>15</v>
      </c>
      <c r="F87" s="285" t="s">
        <v>105</v>
      </c>
      <c r="G87" s="566"/>
      <c r="H87" s="558"/>
      <c r="I87" s="269"/>
      <c r="J87" s="270"/>
      <c r="K87" s="270"/>
    </row>
    <row r="88" spans="1:11" x14ac:dyDescent="0.25">
      <c r="A88" s="356" t="s">
        <v>76</v>
      </c>
      <c r="B88" s="533">
        <v>0.26</v>
      </c>
      <c r="C88" s="284" t="s">
        <v>15</v>
      </c>
      <c r="D88" s="538">
        <v>0.26</v>
      </c>
      <c r="E88" s="284" t="s">
        <v>15</v>
      </c>
      <c r="F88" s="285" t="s">
        <v>105</v>
      </c>
      <c r="G88" s="566"/>
      <c r="H88" s="558"/>
      <c r="I88" s="269"/>
      <c r="J88" s="270"/>
      <c r="K88" s="270"/>
    </row>
    <row r="89" spans="1:11" x14ac:dyDescent="0.25">
      <c r="A89" s="355" t="s">
        <v>16</v>
      </c>
      <c r="B89" s="534">
        <v>0.01</v>
      </c>
      <c r="C89" s="284" t="s">
        <v>15</v>
      </c>
      <c r="D89" s="539">
        <v>0.01</v>
      </c>
      <c r="E89" s="284" t="s">
        <v>15</v>
      </c>
      <c r="F89" s="285" t="s">
        <v>105</v>
      </c>
      <c r="G89" s="567"/>
      <c r="H89" s="558"/>
      <c r="I89" s="269"/>
      <c r="J89" s="270"/>
      <c r="K89" s="270"/>
    </row>
    <row r="90" spans="1:11" x14ac:dyDescent="0.25">
      <c r="A90" s="355" t="s">
        <v>108</v>
      </c>
      <c r="B90" s="535"/>
      <c r="C90" s="282" t="s">
        <v>15</v>
      </c>
      <c r="D90" s="357"/>
      <c r="E90" s="284" t="s">
        <v>15</v>
      </c>
      <c r="F90" s="285" t="s">
        <v>105</v>
      </c>
      <c r="G90" s="303"/>
      <c r="H90" s="558"/>
      <c r="I90" s="269"/>
      <c r="J90" s="270"/>
      <c r="K90" s="270"/>
    </row>
    <row r="91" spans="1:11" x14ac:dyDescent="0.25">
      <c r="A91" s="280" t="s">
        <v>77</v>
      </c>
      <c r="B91" s="536">
        <v>47</v>
      </c>
      <c r="C91" s="382" t="s">
        <v>22</v>
      </c>
      <c r="D91" s="520">
        <v>47</v>
      </c>
      <c r="E91" s="382" t="s">
        <v>22</v>
      </c>
      <c r="F91" s="305" t="s">
        <v>106</v>
      </c>
      <c r="G91" s="286"/>
      <c r="H91" s="558"/>
      <c r="I91" s="269"/>
      <c r="J91" s="270"/>
      <c r="K91" s="270"/>
    </row>
    <row r="92" spans="1:11" ht="45" x14ac:dyDescent="0.25">
      <c r="A92" s="280" t="s">
        <v>78</v>
      </c>
      <c r="B92" s="537">
        <f>((B85*B$75)+(B87*((B$77+B$78+B$79)/COUNTIF(B$77:B$79,"&gt;0")))+(B88*B$80)+(B89*B$81)+(B90*B$82))*B91</f>
        <v>23.676802941176469</v>
      </c>
      <c r="C92" s="382" t="s">
        <v>13</v>
      </c>
      <c r="D92" s="537">
        <f>((D85*D$75)+(D87*((D$77+D$78+D$79)/COUNTIF(D$77:D$79,"&gt;0")))+(D88*D$80)+(D89*D$81)+(D90*D82))*D91</f>
        <v>23.676802941176469</v>
      </c>
      <c r="E92" s="382" t="s">
        <v>13</v>
      </c>
      <c r="F92" s="305" t="s">
        <v>44</v>
      </c>
      <c r="G92" s="303" t="s">
        <v>256</v>
      </c>
      <c r="H92" s="558"/>
      <c r="I92" s="269"/>
      <c r="J92" s="270"/>
      <c r="K92" s="270"/>
    </row>
    <row r="93" spans="1:11" x14ac:dyDescent="0.25">
      <c r="A93" s="344" t="s">
        <v>170</v>
      </c>
      <c r="B93" s="345"/>
      <c r="C93" s="346"/>
      <c r="D93" s="347"/>
      <c r="E93" s="346"/>
      <c r="F93" s="348"/>
      <c r="G93" s="349"/>
      <c r="H93" s="515"/>
      <c r="I93" s="269"/>
      <c r="J93" s="270"/>
      <c r="K93" s="270"/>
    </row>
    <row r="94" spans="1:11" x14ac:dyDescent="0.25">
      <c r="A94" s="350" t="s">
        <v>210</v>
      </c>
      <c r="B94" s="533">
        <v>1.98</v>
      </c>
      <c r="C94" s="282" t="s">
        <v>15</v>
      </c>
      <c r="D94" s="538">
        <v>1.98</v>
      </c>
      <c r="E94" s="284" t="s">
        <v>15</v>
      </c>
      <c r="F94" s="285" t="s">
        <v>105</v>
      </c>
      <c r="G94" s="565" t="s">
        <v>60</v>
      </c>
      <c r="H94" s="558" t="s">
        <v>297</v>
      </c>
      <c r="I94" s="269"/>
      <c r="J94" s="270"/>
      <c r="K94" s="270"/>
    </row>
    <row r="95" spans="1:11" x14ac:dyDescent="0.25">
      <c r="A95" s="351" t="s">
        <v>107</v>
      </c>
      <c r="B95" s="338"/>
      <c r="C95" s="352"/>
      <c r="D95" s="353"/>
      <c r="E95" s="352"/>
      <c r="F95" s="354"/>
      <c r="G95" s="566"/>
      <c r="H95" s="558"/>
      <c r="I95" s="269"/>
      <c r="J95" s="270"/>
      <c r="K95" s="270"/>
    </row>
    <row r="96" spans="1:11" x14ac:dyDescent="0.25">
      <c r="A96" s="358" t="s">
        <v>75</v>
      </c>
      <c r="B96" s="533">
        <v>0.72</v>
      </c>
      <c r="C96" s="282" t="s">
        <v>15</v>
      </c>
      <c r="D96" s="538">
        <v>0.72</v>
      </c>
      <c r="E96" s="284" t="s">
        <v>15</v>
      </c>
      <c r="F96" s="285" t="s">
        <v>105</v>
      </c>
      <c r="G96" s="566"/>
      <c r="H96" s="558"/>
      <c r="I96" s="269"/>
      <c r="J96" s="270"/>
      <c r="K96" s="270"/>
    </row>
    <row r="97" spans="1:11" x14ac:dyDescent="0.25">
      <c r="A97" s="359" t="s">
        <v>76</v>
      </c>
      <c r="B97" s="533">
        <v>0.13</v>
      </c>
      <c r="C97" s="282" t="s">
        <v>15</v>
      </c>
      <c r="D97" s="538">
        <v>0.13</v>
      </c>
      <c r="E97" s="284" t="s">
        <v>15</v>
      </c>
      <c r="F97" s="285" t="s">
        <v>105</v>
      </c>
      <c r="G97" s="566"/>
      <c r="H97" s="558"/>
      <c r="I97" s="269"/>
      <c r="J97" s="270"/>
      <c r="K97" s="270"/>
    </row>
    <row r="98" spans="1:11" x14ac:dyDescent="0.25">
      <c r="A98" s="360" t="s">
        <v>16</v>
      </c>
      <c r="B98" s="533">
        <v>0.01</v>
      </c>
      <c r="C98" s="282" t="s">
        <v>15</v>
      </c>
      <c r="D98" s="540">
        <v>0.01</v>
      </c>
      <c r="E98" s="284" t="s">
        <v>15</v>
      </c>
      <c r="F98" s="285" t="s">
        <v>105</v>
      </c>
      <c r="G98" s="567"/>
      <c r="H98" s="558"/>
      <c r="I98" s="269"/>
      <c r="J98" s="270"/>
      <c r="K98" s="270"/>
    </row>
    <row r="99" spans="1:11" x14ac:dyDescent="0.25">
      <c r="A99" s="360" t="s">
        <v>109</v>
      </c>
      <c r="B99" s="535"/>
      <c r="C99" s="282" t="s">
        <v>15</v>
      </c>
      <c r="D99" s="357"/>
      <c r="E99" s="284" t="s">
        <v>15</v>
      </c>
      <c r="F99" s="285" t="s">
        <v>105</v>
      </c>
      <c r="G99" s="303"/>
      <c r="H99" s="558"/>
      <c r="I99" s="269"/>
      <c r="J99" s="270"/>
      <c r="K99" s="270"/>
    </row>
    <row r="100" spans="1:11" x14ac:dyDescent="0.25">
      <c r="A100" s="280" t="s">
        <v>77</v>
      </c>
      <c r="B100" s="536">
        <v>122</v>
      </c>
      <c r="C100" s="382" t="s">
        <v>22</v>
      </c>
      <c r="D100" s="520">
        <v>122</v>
      </c>
      <c r="E100" s="382" t="s">
        <v>22</v>
      </c>
      <c r="F100" s="285" t="s">
        <v>106</v>
      </c>
      <c r="G100" s="286"/>
      <c r="H100" s="558"/>
      <c r="I100" s="269"/>
      <c r="J100" s="270"/>
      <c r="K100" s="270"/>
    </row>
    <row r="101" spans="1:11" ht="45" x14ac:dyDescent="0.25">
      <c r="A101" s="280" t="s">
        <v>78</v>
      </c>
      <c r="B101" s="537">
        <f>((B94*B$75)+(B96*((B$77+B$78+B$79)/COUNTIF(B$77:B$79,"&gt;0")))+(B97*B$80)+(B98*B$81)+(B99*B$82))*B100</f>
        <v>48.90750352941177</v>
      </c>
      <c r="C101" s="382" t="s">
        <v>13</v>
      </c>
      <c r="D101" s="537">
        <f>((D94*D$75)+(D96*((D$77+D$78+D$79)/COUNTIF(D$77:D$79,"&gt;0")))+(D97*D$80)+(D98*D$81)+(D99*D$82))*D100</f>
        <v>48.90750352941177</v>
      </c>
      <c r="E101" s="382" t="s">
        <v>13</v>
      </c>
      <c r="F101" s="285" t="s">
        <v>44</v>
      </c>
      <c r="G101" s="303" t="s">
        <v>258</v>
      </c>
      <c r="H101" s="558"/>
      <c r="I101" s="269"/>
      <c r="J101" s="270"/>
      <c r="K101" s="270"/>
    </row>
    <row r="102" spans="1:11" x14ac:dyDescent="0.25">
      <c r="A102" s="344" t="s">
        <v>172</v>
      </c>
      <c r="B102" s="345"/>
      <c r="C102" s="346"/>
      <c r="D102" s="347"/>
      <c r="E102" s="346"/>
      <c r="F102" s="348"/>
      <c r="G102" s="349"/>
      <c r="H102" s="515"/>
      <c r="I102" s="269"/>
      <c r="J102" s="270"/>
      <c r="K102" s="270"/>
    </row>
    <row r="103" spans="1:11" x14ac:dyDescent="0.25">
      <c r="A103" s="350" t="s">
        <v>210</v>
      </c>
      <c r="B103" s="533">
        <v>2.2000000000000002</v>
      </c>
      <c r="C103" s="282" t="s">
        <v>15</v>
      </c>
      <c r="D103" s="538">
        <v>2.2000000000000002</v>
      </c>
      <c r="E103" s="284" t="s">
        <v>15</v>
      </c>
      <c r="F103" s="285" t="s">
        <v>105</v>
      </c>
      <c r="G103" s="565" t="s">
        <v>60</v>
      </c>
      <c r="H103" s="558" t="s">
        <v>297</v>
      </c>
      <c r="I103" s="269"/>
      <c r="J103" s="270"/>
      <c r="K103" s="270"/>
    </row>
    <row r="104" spans="1:11" x14ac:dyDescent="0.25">
      <c r="A104" s="280" t="s">
        <v>75</v>
      </c>
      <c r="B104" s="533">
        <v>1.1200000000000001</v>
      </c>
      <c r="C104" s="282" t="s">
        <v>15</v>
      </c>
      <c r="D104" s="538">
        <v>1.1200000000000001</v>
      </c>
      <c r="E104" s="284" t="s">
        <v>15</v>
      </c>
      <c r="F104" s="285" t="s">
        <v>105</v>
      </c>
      <c r="G104" s="566"/>
      <c r="H104" s="558"/>
      <c r="I104" s="269"/>
      <c r="J104" s="270"/>
      <c r="K104" s="270"/>
    </row>
    <row r="105" spans="1:11" x14ac:dyDescent="0.25">
      <c r="A105" s="361" t="s">
        <v>76</v>
      </c>
      <c r="B105" s="533">
        <v>0</v>
      </c>
      <c r="C105" s="282" t="s">
        <v>15</v>
      </c>
      <c r="D105" s="538">
        <v>0</v>
      </c>
      <c r="E105" s="284" t="s">
        <v>15</v>
      </c>
      <c r="F105" s="285" t="s">
        <v>105</v>
      </c>
      <c r="G105" s="566"/>
      <c r="H105" s="558"/>
      <c r="I105" s="269"/>
      <c r="J105" s="270"/>
      <c r="K105" s="270"/>
    </row>
    <row r="106" spans="1:11" x14ac:dyDescent="0.25">
      <c r="A106" s="280" t="s">
        <v>16</v>
      </c>
      <c r="B106" s="533">
        <v>0.01</v>
      </c>
      <c r="C106" s="282" t="s">
        <v>15</v>
      </c>
      <c r="D106" s="538">
        <v>0.01</v>
      </c>
      <c r="E106" s="284" t="s">
        <v>15</v>
      </c>
      <c r="F106" s="285" t="s">
        <v>105</v>
      </c>
      <c r="G106" s="567"/>
      <c r="H106" s="558"/>
      <c r="I106" s="269"/>
      <c r="J106" s="270"/>
      <c r="K106" s="270"/>
    </row>
    <row r="107" spans="1:11" x14ac:dyDescent="0.25">
      <c r="A107" s="280" t="s">
        <v>77</v>
      </c>
      <c r="B107" s="536">
        <v>121</v>
      </c>
      <c r="C107" s="382" t="s">
        <v>22</v>
      </c>
      <c r="D107" s="520">
        <v>121</v>
      </c>
      <c r="E107" s="382" t="s">
        <v>22</v>
      </c>
      <c r="F107" s="285" t="s">
        <v>106</v>
      </c>
      <c r="G107" s="286"/>
      <c r="H107" s="558"/>
      <c r="I107" s="269"/>
      <c r="J107" s="270"/>
      <c r="K107" s="270"/>
    </row>
    <row r="108" spans="1:11" ht="45" x14ac:dyDescent="0.25">
      <c r="A108" s="280" t="s">
        <v>78</v>
      </c>
      <c r="B108" s="537">
        <f>((B103*B$75)+(B104*((B$77+B$78+B$79)/COUNTIF(B$77:B$79,"&gt;0")))+(B105*B$80)+(B106*B$81))*B107</f>
        <v>49.847183725490204</v>
      </c>
      <c r="C108" s="382" t="s">
        <v>13</v>
      </c>
      <c r="D108" s="537">
        <f>((D103*D$75)+(D104*((D$77+D$78+D$79)/COUNTIF(D$77:D$79,"&gt;0")))+(D105*D$80)+(D106*D$81))*D107</f>
        <v>49.847183725490204</v>
      </c>
      <c r="E108" s="382" t="s">
        <v>13</v>
      </c>
      <c r="F108" s="285" t="s">
        <v>44</v>
      </c>
      <c r="G108" s="303" t="s">
        <v>257</v>
      </c>
      <c r="H108" s="558"/>
      <c r="I108" s="269"/>
      <c r="J108" s="270"/>
      <c r="K108" s="270"/>
    </row>
    <row r="109" spans="1:11" ht="18.75" x14ac:dyDescent="0.25">
      <c r="A109" s="624" t="s">
        <v>42</v>
      </c>
      <c r="B109" s="292"/>
      <c r="C109" s="293"/>
      <c r="D109" s="294"/>
      <c r="E109" s="293"/>
      <c r="F109" s="295"/>
      <c r="G109" s="296"/>
      <c r="H109" s="508"/>
      <c r="I109" s="269"/>
      <c r="J109" s="270"/>
      <c r="K109" s="270"/>
    </row>
    <row r="110" spans="1:11" x14ac:dyDescent="0.25">
      <c r="A110" s="344" t="s">
        <v>171</v>
      </c>
      <c r="B110" s="345"/>
      <c r="C110" s="346"/>
      <c r="D110" s="347"/>
      <c r="E110" s="346"/>
      <c r="F110" s="348"/>
      <c r="G110" s="349"/>
      <c r="H110" s="515"/>
      <c r="I110" s="269"/>
      <c r="J110" s="270"/>
      <c r="K110" s="270"/>
    </row>
    <row r="111" spans="1:11" x14ac:dyDescent="0.25">
      <c r="A111" s="350" t="s">
        <v>210</v>
      </c>
      <c r="B111" s="541">
        <v>0.3</v>
      </c>
      <c r="C111" s="282" t="s">
        <v>15</v>
      </c>
      <c r="D111" s="547">
        <v>0.3</v>
      </c>
      <c r="E111" s="284" t="s">
        <v>15</v>
      </c>
      <c r="F111" s="285" t="s">
        <v>105</v>
      </c>
      <c r="G111" s="565" t="s">
        <v>60</v>
      </c>
      <c r="H111" s="558" t="s">
        <v>298</v>
      </c>
      <c r="I111" s="269"/>
      <c r="J111" s="270"/>
      <c r="K111" s="270"/>
    </row>
    <row r="112" spans="1:11" x14ac:dyDescent="0.25">
      <c r="A112" s="351" t="s">
        <v>107</v>
      </c>
      <c r="B112" s="338"/>
      <c r="C112" s="352"/>
      <c r="D112" s="353"/>
      <c r="E112" s="352"/>
      <c r="F112" s="354"/>
      <c r="G112" s="566"/>
      <c r="H112" s="558"/>
      <c r="I112" s="269"/>
      <c r="J112" s="270"/>
      <c r="K112" s="270"/>
    </row>
    <row r="113" spans="1:13" x14ac:dyDescent="0.25">
      <c r="A113" s="360" t="s">
        <v>75</v>
      </c>
      <c r="B113" s="542">
        <v>1</v>
      </c>
      <c r="C113" s="282" t="s">
        <v>15</v>
      </c>
      <c r="D113" s="548">
        <v>1</v>
      </c>
      <c r="E113" s="284" t="s">
        <v>15</v>
      </c>
      <c r="F113" s="285" t="s">
        <v>105</v>
      </c>
      <c r="G113" s="566"/>
      <c r="H113" s="558"/>
      <c r="I113" s="269"/>
      <c r="J113" s="270"/>
      <c r="K113" s="270"/>
    </row>
    <row r="114" spans="1:13" x14ac:dyDescent="0.25">
      <c r="A114" s="359" t="s">
        <v>76</v>
      </c>
      <c r="B114" s="541">
        <v>0.2</v>
      </c>
      <c r="C114" s="282" t="s">
        <v>15</v>
      </c>
      <c r="D114" s="547">
        <v>0.2</v>
      </c>
      <c r="E114" s="284" t="s">
        <v>15</v>
      </c>
      <c r="F114" s="285" t="s">
        <v>105</v>
      </c>
      <c r="G114" s="566"/>
      <c r="H114" s="558"/>
      <c r="I114" s="269"/>
      <c r="J114" s="270"/>
      <c r="K114" s="270"/>
    </row>
    <row r="115" spans="1:13" x14ac:dyDescent="0.25">
      <c r="A115" s="360" t="s">
        <v>16</v>
      </c>
      <c r="B115" s="543">
        <v>0.01</v>
      </c>
      <c r="C115" s="282" t="s">
        <v>15</v>
      </c>
      <c r="D115" s="549">
        <v>0.01</v>
      </c>
      <c r="E115" s="284" t="s">
        <v>15</v>
      </c>
      <c r="F115" s="285" t="s">
        <v>105</v>
      </c>
      <c r="G115" s="567"/>
      <c r="H115" s="558"/>
      <c r="I115" s="269"/>
      <c r="J115" s="270"/>
      <c r="K115" s="270"/>
    </row>
    <row r="116" spans="1:13" x14ac:dyDescent="0.25">
      <c r="A116" s="360" t="s">
        <v>109</v>
      </c>
      <c r="B116" s="544"/>
      <c r="C116" s="282" t="s">
        <v>15</v>
      </c>
      <c r="D116" s="357"/>
      <c r="E116" s="284" t="s">
        <v>15</v>
      </c>
      <c r="F116" s="285" t="s">
        <v>105</v>
      </c>
      <c r="G116" s="303"/>
      <c r="H116" s="558"/>
      <c r="I116" s="269"/>
      <c r="J116" s="270"/>
      <c r="K116" s="270"/>
    </row>
    <row r="117" spans="1:13" x14ac:dyDescent="0.25">
      <c r="A117" s="280" t="s">
        <v>77</v>
      </c>
      <c r="B117" s="545">
        <v>47</v>
      </c>
      <c r="C117" s="382" t="s">
        <v>22</v>
      </c>
      <c r="D117" s="526">
        <v>47</v>
      </c>
      <c r="E117" s="382" t="s">
        <v>22</v>
      </c>
      <c r="F117" s="285" t="s">
        <v>106</v>
      </c>
      <c r="G117" s="286"/>
      <c r="H117" s="558"/>
      <c r="I117" s="269"/>
      <c r="J117" s="270"/>
      <c r="K117" s="270"/>
    </row>
    <row r="118" spans="1:13" ht="45" x14ac:dyDescent="0.25">
      <c r="A118" s="280" t="s">
        <v>79</v>
      </c>
      <c r="B118" s="546">
        <f>((B111*B$75)+(B113*((B$77+B$78+B$79)/COUNTIF(B$77:B$79,"&gt;0")))+(B114*B$80)+(B115*B$81)+(B116*B$82))*B117</f>
        <v>17.6508868627451</v>
      </c>
      <c r="C118" s="382" t="s">
        <v>80</v>
      </c>
      <c r="D118" s="546">
        <f>((D111*D$75)+(D113*((D$77+D$78+D$79)/COUNTIF(D$77:D$79,"&gt;0")))+(D114*D$80)+(D115*D$81)+(D116*D$82))*D117</f>
        <v>17.6508868627451</v>
      </c>
      <c r="E118" s="382" t="s">
        <v>80</v>
      </c>
      <c r="F118" s="305" t="s">
        <v>44</v>
      </c>
      <c r="G118" s="303" t="s">
        <v>259</v>
      </c>
      <c r="H118" s="558"/>
      <c r="I118" s="269"/>
      <c r="J118" s="270"/>
      <c r="K118" s="297"/>
      <c r="L118" s="298"/>
    </row>
    <row r="119" spans="1:13" x14ac:dyDescent="0.25">
      <c r="A119" s="344" t="s">
        <v>173</v>
      </c>
      <c r="B119" s="345"/>
      <c r="C119" s="346"/>
      <c r="D119" s="347"/>
      <c r="E119" s="346"/>
      <c r="F119" s="348"/>
      <c r="G119" s="349"/>
      <c r="H119" s="515"/>
      <c r="I119" s="269"/>
      <c r="J119" s="297"/>
      <c r="K119" s="297"/>
      <c r="L119" s="298"/>
    </row>
    <row r="120" spans="1:13" x14ac:dyDescent="0.25">
      <c r="A120" s="350" t="s">
        <v>210</v>
      </c>
      <c r="B120" s="541">
        <v>1.1000000000000001</v>
      </c>
      <c r="C120" s="282" t="s">
        <v>15</v>
      </c>
      <c r="D120" s="547">
        <v>1.1000000000000001</v>
      </c>
      <c r="E120" s="284" t="s">
        <v>15</v>
      </c>
      <c r="F120" s="285" t="s">
        <v>105</v>
      </c>
      <c r="G120" s="565" t="s">
        <v>60</v>
      </c>
      <c r="H120" s="558" t="s">
        <v>298</v>
      </c>
      <c r="I120" s="269"/>
      <c r="J120" s="297"/>
      <c r="K120" s="297"/>
      <c r="L120" s="298"/>
    </row>
    <row r="121" spans="1:13" x14ac:dyDescent="0.25">
      <c r="A121" s="351" t="s">
        <v>107</v>
      </c>
      <c r="B121" s="338"/>
      <c r="C121" s="352"/>
      <c r="D121" s="353"/>
      <c r="E121" s="352"/>
      <c r="F121" s="354"/>
      <c r="G121" s="566"/>
      <c r="H121" s="558"/>
      <c r="I121" s="269"/>
      <c r="J121" s="270"/>
      <c r="K121" s="270"/>
    </row>
    <row r="122" spans="1:13" x14ac:dyDescent="0.25">
      <c r="A122" s="360" t="s">
        <v>75</v>
      </c>
      <c r="B122" s="541">
        <v>0.49</v>
      </c>
      <c r="C122" s="282" t="s">
        <v>15</v>
      </c>
      <c r="D122" s="547">
        <v>0.49</v>
      </c>
      <c r="E122" s="284" t="s">
        <v>15</v>
      </c>
      <c r="F122" s="285" t="s">
        <v>105</v>
      </c>
      <c r="G122" s="566"/>
      <c r="H122" s="558"/>
      <c r="I122" s="269"/>
      <c r="J122" s="270"/>
      <c r="K122" s="270"/>
    </row>
    <row r="123" spans="1:13" x14ac:dyDescent="0.25">
      <c r="A123" s="359" t="s">
        <v>76</v>
      </c>
      <c r="B123" s="541">
        <v>0.1</v>
      </c>
      <c r="C123" s="282" t="s">
        <v>15</v>
      </c>
      <c r="D123" s="547">
        <v>0.1</v>
      </c>
      <c r="E123" s="284" t="s">
        <v>15</v>
      </c>
      <c r="F123" s="285" t="s">
        <v>105</v>
      </c>
      <c r="G123" s="566"/>
      <c r="H123" s="558"/>
      <c r="I123" s="269"/>
      <c r="J123" s="270"/>
      <c r="K123" s="270"/>
    </row>
    <row r="124" spans="1:13" x14ac:dyDescent="0.25">
      <c r="A124" s="360" t="s">
        <v>16</v>
      </c>
      <c r="B124" s="543">
        <v>0.01</v>
      </c>
      <c r="C124" s="282" t="s">
        <v>15</v>
      </c>
      <c r="D124" s="549">
        <v>0.01</v>
      </c>
      <c r="E124" s="284" t="s">
        <v>15</v>
      </c>
      <c r="F124" s="285" t="s">
        <v>105</v>
      </c>
      <c r="G124" s="567"/>
      <c r="H124" s="558"/>
      <c r="I124" s="269"/>
      <c r="J124" s="270"/>
      <c r="K124" s="270"/>
    </row>
    <row r="125" spans="1:13" x14ac:dyDescent="0.25">
      <c r="A125" s="358" t="s">
        <v>109</v>
      </c>
      <c r="B125" s="544"/>
      <c r="C125" s="282" t="s">
        <v>15</v>
      </c>
      <c r="D125" s="357"/>
      <c r="E125" s="284" t="s">
        <v>15</v>
      </c>
      <c r="F125" s="285" t="s">
        <v>105</v>
      </c>
      <c r="G125" s="303"/>
      <c r="H125" s="558"/>
      <c r="I125" s="269"/>
      <c r="J125" s="270"/>
      <c r="K125" s="270"/>
    </row>
    <row r="126" spans="1:13" x14ac:dyDescent="0.25">
      <c r="A126" s="280" t="s">
        <v>77</v>
      </c>
      <c r="B126" s="545">
        <v>122</v>
      </c>
      <c r="C126" s="382" t="s">
        <v>22</v>
      </c>
      <c r="D126" s="526">
        <v>122</v>
      </c>
      <c r="E126" s="382" t="s">
        <v>22</v>
      </c>
      <c r="F126" s="285" t="s">
        <v>106</v>
      </c>
      <c r="G126" s="286"/>
      <c r="H126" s="558"/>
      <c r="I126" s="269"/>
      <c r="J126" s="270"/>
      <c r="K126" s="270"/>
    </row>
    <row r="127" spans="1:13" ht="45" x14ac:dyDescent="0.25">
      <c r="A127" s="280" t="s">
        <v>79</v>
      </c>
      <c r="B127" s="546">
        <f>((B120*B$75)+(B122*((B$77+B$78+B$79)/COUNTIF(B$77:B$79,"&gt;0")))+(B123*B$80)+(B124*B$81)+(B125*B$82))*B126</f>
        <v>32.315168627450987</v>
      </c>
      <c r="C127" s="382" t="s">
        <v>80</v>
      </c>
      <c r="D127" s="546">
        <f>((D120*D$75)+(D122*((D$77+D$78+D$79)/COUNTIF(D$77:D$79,"&gt;0")))+(D123*D$80)+(D124*D$81)+(D125*D$82))*D126</f>
        <v>32.315168627450987</v>
      </c>
      <c r="E127" s="382" t="s">
        <v>80</v>
      </c>
      <c r="F127" s="305" t="s">
        <v>44</v>
      </c>
      <c r="G127" s="303" t="s">
        <v>260</v>
      </c>
      <c r="H127" s="558"/>
      <c r="I127" s="269"/>
      <c r="J127" s="270"/>
      <c r="K127" s="270"/>
    </row>
    <row r="128" spans="1:13" ht="18.75" x14ac:dyDescent="0.25">
      <c r="A128" s="291" t="s">
        <v>38</v>
      </c>
      <c r="B128" s="292"/>
      <c r="C128" s="293"/>
      <c r="D128" s="294"/>
      <c r="E128" s="293"/>
      <c r="F128" s="295"/>
      <c r="G128" s="296"/>
      <c r="H128" s="508"/>
      <c r="I128" s="269"/>
      <c r="J128" s="297"/>
      <c r="K128" s="297"/>
      <c r="L128" s="297"/>
      <c r="M128" s="297"/>
    </row>
    <row r="129" spans="1:13" hidden="1" x14ac:dyDescent="0.25">
      <c r="A129" s="363" t="s">
        <v>39</v>
      </c>
      <c r="B129" s="345"/>
      <c r="C129" s="346"/>
      <c r="D129" s="347"/>
      <c r="E129" s="346"/>
      <c r="F129" s="348"/>
      <c r="G129" s="568" t="s">
        <v>221</v>
      </c>
      <c r="H129" s="516"/>
      <c r="I129" s="270"/>
      <c r="J129" s="377"/>
      <c r="K129" s="377"/>
      <c r="L129" s="377"/>
      <c r="M129" s="297"/>
    </row>
    <row r="130" spans="1:13" hidden="1" x14ac:dyDescent="0.25">
      <c r="A130" s="364" t="s">
        <v>13</v>
      </c>
      <c r="B130" s="365">
        <v>56.76</v>
      </c>
      <c r="C130" s="366" t="s">
        <v>13</v>
      </c>
      <c r="D130" s="367">
        <v>56.76</v>
      </c>
      <c r="E130" s="366" t="s">
        <v>13</v>
      </c>
      <c r="F130" s="368" t="s">
        <v>106</v>
      </c>
      <c r="G130" s="568"/>
      <c r="H130" s="516"/>
      <c r="I130" s="270"/>
      <c r="J130" s="375"/>
      <c r="K130" s="375"/>
      <c r="L130" s="375"/>
      <c r="M130" s="297"/>
    </row>
    <row r="131" spans="1:13" hidden="1" x14ac:dyDescent="0.25">
      <c r="A131" s="364" t="s">
        <v>81</v>
      </c>
      <c r="B131" s="365">
        <v>1.4552</v>
      </c>
      <c r="C131" s="366" t="s">
        <v>14</v>
      </c>
      <c r="D131" s="367">
        <v>1.4552</v>
      </c>
      <c r="E131" s="366" t="s">
        <v>14</v>
      </c>
      <c r="F131" s="368" t="s">
        <v>106</v>
      </c>
      <c r="G131" s="568"/>
      <c r="H131" s="516"/>
      <c r="I131" s="270"/>
      <c r="J131" s="375"/>
      <c r="K131" s="375"/>
      <c r="L131" s="375"/>
      <c r="M131" s="297"/>
    </row>
    <row r="132" spans="1:13" hidden="1" x14ac:dyDescent="0.25">
      <c r="A132" s="363" t="s">
        <v>40</v>
      </c>
      <c r="B132" s="345"/>
      <c r="C132" s="346"/>
      <c r="D132" s="347"/>
      <c r="E132" s="346"/>
      <c r="F132" s="348"/>
      <c r="G132" s="568"/>
      <c r="H132" s="516"/>
      <c r="I132" s="270"/>
      <c r="J132" s="375"/>
      <c r="K132" s="375"/>
      <c r="L132" s="375"/>
      <c r="M132" s="297"/>
    </row>
    <row r="133" spans="1:13" hidden="1" x14ac:dyDescent="0.25">
      <c r="A133" s="364" t="s">
        <v>13</v>
      </c>
      <c r="B133" s="365">
        <v>19.78</v>
      </c>
      <c r="C133" s="366" t="s">
        <v>13</v>
      </c>
      <c r="D133" s="367">
        <v>19.78</v>
      </c>
      <c r="E133" s="366" t="s">
        <v>13</v>
      </c>
      <c r="F133" s="368" t="s">
        <v>106</v>
      </c>
      <c r="G133" s="568"/>
      <c r="H133" s="516"/>
      <c r="I133" s="270"/>
      <c r="J133" s="375"/>
      <c r="K133" s="375"/>
      <c r="L133" s="375"/>
      <c r="M133" s="297"/>
    </row>
    <row r="134" spans="1:13" hidden="1" x14ac:dyDescent="0.25">
      <c r="A134" s="364" t="s">
        <v>81</v>
      </c>
      <c r="B134" s="365">
        <v>0.56689999999999996</v>
      </c>
      <c r="C134" s="366" t="s">
        <v>14</v>
      </c>
      <c r="D134" s="367">
        <v>0.56689999999999996</v>
      </c>
      <c r="E134" s="366" t="s">
        <v>14</v>
      </c>
      <c r="F134" s="368" t="s">
        <v>106</v>
      </c>
      <c r="G134" s="568"/>
      <c r="H134" s="516"/>
      <c r="I134" s="270"/>
      <c r="J134" s="375"/>
      <c r="K134" s="375"/>
      <c r="L134" s="375"/>
      <c r="M134" s="297"/>
    </row>
    <row r="135" spans="1:13" hidden="1" x14ac:dyDescent="0.25">
      <c r="A135" s="306" t="s">
        <v>41</v>
      </c>
      <c r="B135" s="365">
        <v>36.979999999999997</v>
      </c>
      <c r="C135" s="366" t="s">
        <v>13</v>
      </c>
      <c r="D135" s="367">
        <v>36.979999999999997</v>
      </c>
      <c r="E135" s="366" t="s">
        <v>13</v>
      </c>
      <c r="F135" s="368" t="s">
        <v>106</v>
      </c>
      <c r="G135" s="568"/>
      <c r="H135" s="516"/>
      <c r="I135" s="412"/>
      <c r="J135" s="376"/>
      <c r="K135" s="376"/>
      <c r="L135" s="376"/>
      <c r="M135" s="297"/>
    </row>
    <row r="136" spans="1:13" hidden="1" x14ac:dyDescent="0.25">
      <c r="A136" s="306" t="s">
        <v>74</v>
      </c>
      <c r="B136" s="365">
        <v>0.88830000000000009</v>
      </c>
      <c r="C136" s="366" t="s">
        <v>14</v>
      </c>
      <c r="D136" s="367">
        <v>0.88830000000000009</v>
      </c>
      <c r="E136" s="366" t="s">
        <v>14</v>
      </c>
      <c r="F136" s="368" t="s">
        <v>106</v>
      </c>
      <c r="G136" s="568"/>
      <c r="H136" s="516"/>
      <c r="I136" s="412"/>
      <c r="J136" s="376"/>
      <c r="K136" s="376"/>
      <c r="L136" s="376"/>
      <c r="M136" s="297"/>
    </row>
    <row r="137" spans="1:13" x14ac:dyDescent="0.25">
      <c r="A137" s="290" t="s">
        <v>182</v>
      </c>
      <c r="B137" s="407">
        <f>B135+(B136*40)</f>
        <v>72.512</v>
      </c>
      <c r="C137" s="392" t="s">
        <v>24</v>
      </c>
      <c r="D137" s="408">
        <f>D135+(D136*40)</f>
        <v>72.512</v>
      </c>
      <c r="E137" s="382" t="s">
        <v>24</v>
      </c>
      <c r="F137" s="305" t="s">
        <v>106</v>
      </c>
      <c r="G137" s="568"/>
      <c r="H137" s="559"/>
      <c r="I137" s="412"/>
      <c r="J137" s="297"/>
      <c r="K137" s="376"/>
      <c r="L137" s="376"/>
      <c r="M137" s="297"/>
    </row>
    <row r="138" spans="1:13" x14ac:dyDescent="0.25">
      <c r="A138" s="379" t="s">
        <v>222</v>
      </c>
      <c r="B138" s="407">
        <f>B135+(B136*48.2)</f>
        <v>79.796060000000011</v>
      </c>
      <c r="C138" s="392" t="s">
        <v>24</v>
      </c>
      <c r="D138" s="408">
        <f>D135+(D136*48.2)</f>
        <v>79.796060000000011</v>
      </c>
      <c r="E138" s="382" t="s">
        <v>24</v>
      </c>
      <c r="F138" s="305" t="s">
        <v>106</v>
      </c>
      <c r="G138" s="568"/>
      <c r="H138" s="559"/>
      <c r="I138" s="412"/>
      <c r="J138" s="297"/>
      <c r="K138" s="376"/>
      <c r="L138" s="376"/>
      <c r="M138" s="297"/>
    </row>
    <row r="139" spans="1:13" x14ac:dyDescent="0.25">
      <c r="A139" s="283" t="s">
        <v>223</v>
      </c>
      <c r="B139" s="407">
        <f>+B133+(B134*40)</f>
        <v>42.456000000000003</v>
      </c>
      <c r="C139" s="392" t="s">
        <v>24</v>
      </c>
      <c r="D139" s="408">
        <f>+D133+(D134*40)</f>
        <v>42.456000000000003</v>
      </c>
      <c r="E139" s="382" t="s">
        <v>24</v>
      </c>
      <c r="F139" s="305" t="s">
        <v>106</v>
      </c>
      <c r="G139" s="568"/>
      <c r="H139" s="559"/>
      <c r="J139" s="297"/>
      <c r="K139" s="378"/>
      <c r="L139" s="378"/>
      <c r="M139" s="297"/>
    </row>
    <row r="140" spans="1:13" ht="15.75" thickBot="1" x14ac:dyDescent="0.3">
      <c r="A140" s="380" t="s">
        <v>224</v>
      </c>
      <c r="B140" s="409">
        <f>+B133+(B134*48.2)</f>
        <v>47.104579999999999</v>
      </c>
      <c r="C140" s="410" t="s">
        <v>24</v>
      </c>
      <c r="D140" s="411">
        <f>+D133+(D134*48.2)</f>
        <v>47.104579999999999</v>
      </c>
      <c r="E140" s="406" t="s">
        <v>24</v>
      </c>
      <c r="F140" s="369" t="s">
        <v>106</v>
      </c>
      <c r="G140" s="569"/>
      <c r="H140" s="560"/>
      <c r="J140" s="297"/>
      <c r="K140" s="378"/>
      <c r="L140" s="378"/>
      <c r="M140" s="297"/>
    </row>
    <row r="141" spans="1:13" x14ac:dyDescent="0.25">
      <c r="B141" s="371"/>
      <c r="J141" s="297"/>
      <c r="K141" s="297"/>
      <c r="L141" s="297"/>
      <c r="M141" s="297"/>
    </row>
    <row r="142" spans="1:13" x14ac:dyDescent="0.25">
      <c r="B142" s="371"/>
    </row>
    <row r="144" spans="1:13" x14ac:dyDescent="0.25">
      <c r="B144" s="374"/>
    </row>
  </sheetData>
  <sheetProtection algorithmName="SHA-512" hashValue="jsbqoby0LDaIExNt4Hd5aRf5rJmKRiJdPCbczXKCLMWwZox7EWR9Ol1Yzs98ZcMgPFDDGAAi1kTk3wcm0pOC9g==" saltValue="eWXpXLv7W2iafgZXrH5h7w==" spinCount="100000" sheet="1" objects="1" scenarios="1"/>
  <mergeCells count="38">
    <mergeCell ref="G20:G26"/>
    <mergeCell ref="G29:G30"/>
    <mergeCell ref="G56:G67"/>
    <mergeCell ref="G111:G115"/>
    <mergeCell ref="G40:G41"/>
    <mergeCell ref="G77:G82"/>
    <mergeCell ref="G94:G98"/>
    <mergeCell ref="G103:G106"/>
    <mergeCell ref="G85:G89"/>
    <mergeCell ref="G120:G124"/>
    <mergeCell ref="G129:G140"/>
    <mergeCell ref="A1:A3"/>
    <mergeCell ref="G49:G50"/>
    <mergeCell ref="G47:G48"/>
    <mergeCell ref="G44:G45"/>
    <mergeCell ref="G15:G16"/>
    <mergeCell ref="G13:G14"/>
    <mergeCell ref="G9:G10"/>
    <mergeCell ref="B1:C1"/>
    <mergeCell ref="D2:E2"/>
    <mergeCell ref="F2:F3"/>
    <mergeCell ref="G2:G3"/>
    <mergeCell ref="B2:B3"/>
    <mergeCell ref="C2:C3"/>
    <mergeCell ref="D1:G1"/>
    <mergeCell ref="H1:H3"/>
    <mergeCell ref="H9:H18"/>
    <mergeCell ref="H20:H31"/>
    <mergeCell ref="H56:H71"/>
    <mergeCell ref="H39:H41"/>
    <mergeCell ref="H37:H38"/>
    <mergeCell ref="H120:H127"/>
    <mergeCell ref="H137:H140"/>
    <mergeCell ref="H73:H82"/>
    <mergeCell ref="H85:H92"/>
    <mergeCell ref="H94:H101"/>
    <mergeCell ref="H103:H108"/>
    <mergeCell ref="H111:H118"/>
  </mergeCells>
  <printOptions horizontalCentered="1"/>
  <pageMargins left="0.51181102362204722" right="0.51181102362204722" top="0.55118110236220474" bottom="0.55118110236220474" header="0.31496062992125984" footer="0.31496062992125984"/>
  <pageSetup scale="41" fitToHeight="0" orientation="landscape" r:id="rId1"/>
  <headerFooter>
    <oddFooter>&amp;C&amp;9&amp;F&amp;R&amp;9Copyright © 2018   |   SEMRPQ  &amp;K00+000llllllllllllllll</oddFooter>
  </headerFooter>
  <rowBreaks count="1" manualBreakCount="1">
    <brk id="82" max="7"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IL101"/>
  <sheetViews>
    <sheetView showGridLines="0" zoomScale="90" zoomScaleNormal="90" workbookViewId="0">
      <pane ySplit="6" topLeftCell="A7" activePane="bottomLeft" state="frozen"/>
      <selection pane="bottomLeft"/>
    </sheetView>
  </sheetViews>
  <sheetFormatPr baseColWidth="10" defaultColWidth="10.85546875" defaultRowHeight="15" x14ac:dyDescent="0.25"/>
  <cols>
    <col min="1" max="1" width="10.28515625" style="5" customWidth="1"/>
    <col min="2" max="2" width="72.5703125" style="3" customWidth="1"/>
    <col min="3" max="3" width="12" style="5" customWidth="1"/>
    <col min="4" max="5" width="15.42578125" style="3" customWidth="1"/>
    <col min="6" max="6" width="17.5703125" style="3" customWidth="1"/>
    <col min="7" max="7" width="10.5703125" style="2" hidden="1" customWidth="1"/>
    <col min="8" max="9" width="10.85546875" hidden="1" customWidth="1"/>
    <col min="10" max="10" width="3.140625" customWidth="1"/>
    <col min="11" max="12" width="15.42578125" style="3" customWidth="1"/>
    <col min="13" max="13" width="17.5703125" style="3" customWidth="1"/>
    <col min="14" max="14" width="12.28515625" style="2" hidden="1" customWidth="1"/>
    <col min="15" max="16" width="10.85546875" hidden="1" customWidth="1"/>
    <col min="17" max="236" width="10.85546875" style="3" customWidth="1"/>
    <col min="237" max="237" width="9.5703125" style="3" customWidth="1"/>
    <col min="238" max="238" width="9.140625" style="3" customWidth="1"/>
    <col min="239" max="239" width="11.28515625" style="3" customWidth="1"/>
    <col min="240" max="240" width="10.85546875" style="3" customWidth="1"/>
    <col min="241" max="242" width="0" style="3" hidden="1" customWidth="1"/>
    <col min="243" max="243" width="2" style="3" customWidth="1"/>
    <col min="244" max="254" width="10.85546875" style="3"/>
    <col min="255" max="255" width="0" style="3" hidden="1" customWidth="1"/>
    <col min="256" max="256" width="19" style="3" customWidth="1"/>
    <col min="257" max="257" width="8" style="3" customWidth="1"/>
    <col min="258" max="258" width="95.140625" style="3" customWidth="1"/>
    <col min="259" max="259" width="12" style="3" customWidth="1"/>
    <col min="260" max="260" width="16.7109375" style="3" customWidth="1"/>
    <col min="261" max="262" width="26" style="3" customWidth="1"/>
    <col min="263" max="263" width="0" style="3" hidden="1" customWidth="1"/>
    <col min="264" max="492" width="10.85546875" style="3" customWidth="1"/>
    <col min="493" max="493" width="9.5703125" style="3" customWidth="1"/>
    <col min="494" max="494" width="9.140625" style="3" customWidth="1"/>
    <col min="495" max="495" width="11.28515625" style="3" customWidth="1"/>
    <col min="496" max="496" width="10.85546875" style="3" customWidth="1"/>
    <col min="497" max="498" width="0" style="3" hidden="1" customWidth="1"/>
    <col min="499" max="499" width="2" style="3" customWidth="1"/>
    <col min="500" max="510" width="10.85546875" style="3"/>
    <col min="511" max="511" width="0" style="3" hidden="1" customWidth="1"/>
    <col min="512" max="512" width="19" style="3" customWidth="1"/>
    <col min="513" max="513" width="8" style="3" customWidth="1"/>
    <col min="514" max="514" width="95.140625" style="3" customWidth="1"/>
    <col min="515" max="515" width="12" style="3" customWidth="1"/>
    <col min="516" max="516" width="16.7109375" style="3" customWidth="1"/>
    <col min="517" max="518" width="26" style="3" customWidth="1"/>
    <col min="519" max="519" width="0" style="3" hidden="1" customWidth="1"/>
    <col min="520" max="748" width="10.85546875" style="3" customWidth="1"/>
    <col min="749" max="749" width="9.5703125" style="3" customWidth="1"/>
    <col min="750" max="750" width="9.140625" style="3" customWidth="1"/>
    <col min="751" max="751" width="11.28515625" style="3" customWidth="1"/>
    <col min="752" max="752" width="10.85546875" style="3" customWidth="1"/>
    <col min="753" max="754" width="0" style="3" hidden="1" customWidth="1"/>
    <col min="755" max="755" width="2" style="3" customWidth="1"/>
    <col min="756" max="766" width="10.85546875" style="3"/>
    <col min="767" max="767" width="0" style="3" hidden="1" customWidth="1"/>
    <col min="768" max="768" width="19" style="3" customWidth="1"/>
    <col min="769" max="769" width="8" style="3" customWidth="1"/>
    <col min="770" max="770" width="95.140625" style="3" customWidth="1"/>
    <col min="771" max="771" width="12" style="3" customWidth="1"/>
    <col min="772" max="772" width="16.7109375" style="3" customWidth="1"/>
    <col min="773" max="774" width="26" style="3" customWidth="1"/>
    <col min="775" max="775" width="0" style="3" hidden="1" customWidth="1"/>
    <col min="776" max="1004" width="10.85546875" style="3" customWidth="1"/>
    <col min="1005" max="1005" width="9.5703125" style="3" customWidth="1"/>
    <col min="1006" max="1006" width="9.140625" style="3" customWidth="1"/>
    <col min="1007" max="1007" width="11.28515625" style="3" customWidth="1"/>
    <col min="1008" max="1008" width="10.85546875" style="3" customWidth="1"/>
    <col min="1009" max="1010" width="0" style="3" hidden="1" customWidth="1"/>
    <col min="1011" max="1011" width="2" style="3" customWidth="1"/>
    <col min="1012" max="1022" width="10.85546875" style="3"/>
    <col min="1023" max="1023" width="0" style="3" hidden="1" customWidth="1"/>
    <col min="1024" max="1024" width="19" style="3" customWidth="1"/>
    <col min="1025" max="1025" width="8" style="3" customWidth="1"/>
    <col min="1026" max="1026" width="95.140625" style="3" customWidth="1"/>
    <col min="1027" max="1027" width="12" style="3" customWidth="1"/>
    <col min="1028" max="1028" width="16.7109375" style="3" customWidth="1"/>
    <col min="1029" max="1030" width="26" style="3" customWidth="1"/>
    <col min="1031" max="1031" width="0" style="3" hidden="1" customWidth="1"/>
    <col min="1032" max="1260" width="10.85546875" style="3" customWidth="1"/>
    <col min="1261" max="1261" width="9.5703125" style="3" customWidth="1"/>
    <col min="1262" max="1262" width="9.140625" style="3" customWidth="1"/>
    <col min="1263" max="1263" width="11.28515625" style="3" customWidth="1"/>
    <col min="1264" max="1264" width="10.85546875" style="3" customWidth="1"/>
    <col min="1265" max="1266" width="0" style="3" hidden="1" customWidth="1"/>
    <col min="1267" max="1267" width="2" style="3" customWidth="1"/>
    <col min="1268" max="1278" width="10.85546875" style="3"/>
    <col min="1279" max="1279" width="0" style="3" hidden="1" customWidth="1"/>
    <col min="1280" max="1280" width="19" style="3" customWidth="1"/>
    <col min="1281" max="1281" width="8" style="3" customWidth="1"/>
    <col min="1282" max="1282" width="95.140625" style="3" customWidth="1"/>
    <col min="1283" max="1283" width="12" style="3" customWidth="1"/>
    <col min="1284" max="1284" width="16.7109375" style="3" customWidth="1"/>
    <col min="1285" max="1286" width="26" style="3" customWidth="1"/>
    <col min="1287" max="1287" width="0" style="3" hidden="1" customWidth="1"/>
    <col min="1288" max="1516" width="10.85546875" style="3" customWidth="1"/>
    <col min="1517" max="1517" width="9.5703125" style="3" customWidth="1"/>
    <col min="1518" max="1518" width="9.140625" style="3" customWidth="1"/>
    <col min="1519" max="1519" width="11.28515625" style="3" customWidth="1"/>
    <col min="1520" max="1520" width="10.85546875" style="3" customWidth="1"/>
    <col min="1521" max="1522" width="0" style="3" hidden="1" customWidth="1"/>
    <col min="1523" max="1523" width="2" style="3" customWidth="1"/>
    <col min="1524" max="1534" width="10.85546875" style="3"/>
    <col min="1535" max="1535" width="0" style="3" hidden="1" customWidth="1"/>
    <col min="1536" max="1536" width="19" style="3" customWidth="1"/>
    <col min="1537" max="1537" width="8" style="3" customWidth="1"/>
    <col min="1538" max="1538" width="95.140625" style="3" customWidth="1"/>
    <col min="1539" max="1539" width="12" style="3" customWidth="1"/>
    <col min="1540" max="1540" width="16.7109375" style="3" customWidth="1"/>
    <col min="1541" max="1542" width="26" style="3" customWidth="1"/>
    <col min="1543" max="1543" width="0" style="3" hidden="1" customWidth="1"/>
    <col min="1544" max="1772" width="10.85546875" style="3" customWidth="1"/>
    <col min="1773" max="1773" width="9.5703125" style="3" customWidth="1"/>
    <col min="1774" max="1774" width="9.140625" style="3" customWidth="1"/>
    <col min="1775" max="1775" width="11.28515625" style="3" customWidth="1"/>
    <col min="1776" max="1776" width="10.85546875" style="3" customWidth="1"/>
    <col min="1777" max="1778" width="0" style="3" hidden="1" customWidth="1"/>
    <col min="1779" max="1779" width="2" style="3" customWidth="1"/>
    <col min="1780" max="1790" width="10.85546875" style="3"/>
    <col min="1791" max="1791" width="0" style="3" hidden="1" customWidth="1"/>
    <col min="1792" max="1792" width="19" style="3" customWidth="1"/>
    <col min="1793" max="1793" width="8" style="3" customWidth="1"/>
    <col min="1794" max="1794" width="95.140625" style="3" customWidth="1"/>
    <col min="1795" max="1795" width="12" style="3" customWidth="1"/>
    <col min="1796" max="1796" width="16.7109375" style="3" customWidth="1"/>
    <col min="1797" max="1798" width="26" style="3" customWidth="1"/>
    <col min="1799" max="1799" width="0" style="3" hidden="1" customWidth="1"/>
    <col min="1800" max="2028" width="10.85546875" style="3" customWidth="1"/>
    <col min="2029" max="2029" width="9.5703125" style="3" customWidth="1"/>
    <col min="2030" max="2030" width="9.140625" style="3" customWidth="1"/>
    <col min="2031" max="2031" width="11.28515625" style="3" customWidth="1"/>
    <col min="2032" max="2032" width="10.85546875" style="3" customWidth="1"/>
    <col min="2033" max="2034" width="0" style="3" hidden="1" customWidth="1"/>
    <col min="2035" max="2035" width="2" style="3" customWidth="1"/>
    <col min="2036" max="2046" width="10.85546875" style="3"/>
    <col min="2047" max="2047" width="0" style="3" hidden="1" customWidth="1"/>
    <col min="2048" max="2048" width="19" style="3" customWidth="1"/>
    <col min="2049" max="2049" width="8" style="3" customWidth="1"/>
    <col min="2050" max="2050" width="95.140625" style="3" customWidth="1"/>
    <col min="2051" max="2051" width="12" style="3" customWidth="1"/>
    <col min="2052" max="2052" width="16.7109375" style="3" customWidth="1"/>
    <col min="2053" max="2054" width="26" style="3" customWidth="1"/>
    <col min="2055" max="2055" width="0" style="3" hidden="1" customWidth="1"/>
    <col min="2056" max="2284" width="10.85546875" style="3" customWidth="1"/>
    <col min="2285" max="2285" width="9.5703125" style="3" customWidth="1"/>
    <col min="2286" max="2286" width="9.140625" style="3" customWidth="1"/>
    <col min="2287" max="2287" width="11.28515625" style="3" customWidth="1"/>
    <col min="2288" max="2288" width="10.85546875" style="3" customWidth="1"/>
    <col min="2289" max="2290" width="0" style="3" hidden="1" customWidth="1"/>
    <col min="2291" max="2291" width="2" style="3" customWidth="1"/>
    <col min="2292" max="2302" width="10.85546875" style="3"/>
    <col min="2303" max="2303" width="0" style="3" hidden="1" customWidth="1"/>
    <col min="2304" max="2304" width="19" style="3" customWidth="1"/>
    <col min="2305" max="2305" width="8" style="3" customWidth="1"/>
    <col min="2306" max="2306" width="95.140625" style="3" customWidth="1"/>
    <col min="2307" max="2307" width="12" style="3" customWidth="1"/>
    <col min="2308" max="2308" width="16.7109375" style="3" customWidth="1"/>
    <col min="2309" max="2310" width="26" style="3" customWidth="1"/>
    <col min="2311" max="2311" width="0" style="3" hidden="1" customWidth="1"/>
    <col min="2312" max="2540" width="10.85546875" style="3" customWidth="1"/>
    <col min="2541" max="2541" width="9.5703125" style="3" customWidth="1"/>
    <col min="2542" max="2542" width="9.140625" style="3" customWidth="1"/>
    <col min="2543" max="2543" width="11.28515625" style="3" customWidth="1"/>
    <col min="2544" max="2544" width="10.85546875" style="3" customWidth="1"/>
    <col min="2545" max="2546" width="0" style="3" hidden="1" customWidth="1"/>
    <col min="2547" max="2547" width="2" style="3" customWidth="1"/>
    <col min="2548" max="2558" width="10.85546875" style="3"/>
    <col min="2559" max="2559" width="0" style="3" hidden="1" customWidth="1"/>
    <col min="2560" max="2560" width="19" style="3" customWidth="1"/>
    <col min="2561" max="2561" width="8" style="3" customWidth="1"/>
    <col min="2562" max="2562" width="95.140625" style="3" customWidth="1"/>
    <col min="2563" max="2563" width="12" style="3" customWidth="1"/>
    <col min="2564" max="2564" width="16.7109375" style="3" customWidth="1"/>
    <col min="2565" max="2566" width="26" style="3" customWidth="1"/>
    <col min="2567" max="2567" width="0" style="3" hidden="1" customWidth="1"/>
    <col min="2568" max="2796" width="10.85546875" style="3" customWidth="1"/>
    <col min="2797" max="2797" width="9.5703125" style="3" customWidth="1"/>
    <col min="2798" max="2798" width="9.140625" style="3" customWidth="1"/>
    <col min="2799" max="2799" width="11.28515625" style="3" customWidth="1"/>
    <col min="2800" max="2800" width="10.85546875" style="3" customWidth="1"/>
    <col min="2801" max="2802" width="0" style="3" hidden="1" customWidth="1"/>
    <col min="2803" max="2803" width="2" style="3" customWidth="1"/>
    <col min="2804" max="2814" width="10.85546875" style="3"/>
    <col min="2815" max="2815" width="0" style="3" hidden="1" customWidth="1"/>
    <col min="2816" max="2816" width="19" style="3" customWidth="1"/>
    <col min="2817" max="2817" width="8" style="3" customWidth="1"/>
    <col min="2818" max="2818" width="95.140625" style="3" customWidth="1"/>
    <col min="2819" max="2819" width="12" style="3" customWidth="1"/>
    <col min="2820" max="2820" width="16.7109375" style="3" customWidth="1"/>
    <col min="2821" max="2822" width="26" style="3" customWidth="1"/>
    <col min="2823" max="2823" width="0" style="3" hidden="1" customWidth="1"/>
    <col min="2824" max="3052" width="10.85546875" style="3" customWidth="1"/>
    <col min="3053" max="3053" width="9.5703125" style="3" customWidth="1"/>
    <col min="3054" max="3054" width="9.140625" style="3" customWidth="1"/>
    <col min="3055" max="3055" width="11.28515625" style="3" customWidth="1"/>
    <col min="3056" max="3056" width="10.85546875" style="3" customWidth="1"/>
    <col min="3057" max="3058" width="0" style="3" hidden="1" customWidth="1"/>
    <col min="3059" max="3059" width="2" style="3" customWidth="1"/>
    <col min="3060" max="3070" width="10.85546875" style="3"/>
    <col min="3071" max="3071" width="0" style="3" hidden="1" customWidth="1"/>
    <col min="3072" max="3072" width="19" style="3" customWidth="1"/>
    <col min="3073" max="3073" width="8" style="3" customWidth="1"/>
    <col min="3074" max="3074" width="95.140625" style="3" customWidth="1"/>
    <col min="3075" max="3075" width="12" style="3" customWidth="1"/>
    <col min="3076" max="3076" width="16.7109375" style="3" customWidth="1"/>
    <col min="3077" max="3078" width="26" style="3" customWidth="1"/>
    <col min="3079" max="3079" width="0" style="3" hidden="1" customWidth="1"/>
    <col min="3080" max="3308" width="10.85546875" style="3" customWidth="1"/>
    <col min="3309" max="3309" width="9.5703125" style="3" customWidth="1"/>
    <col min="3310" max="3310" width="9.140625" style="3" customWidth="1"/>
    <col min="3311" max="3311" width="11.28515625" style="3" customWidth="1"/>
    <col min="3312" max="3312" width="10.85546875" style="3" customWidth="1"/>
    <col min="3313" max="3314" width="0" style="3" hidden="1" customWidth="1"/>
    <col min="3315" max="3315" width="2" style="3" customWidth="1"/>
    <col min="3316" max="3326" width="10.85546875" style="3"/>
    <col min="3327" max="3327" width="0" style="3" hidden="1" customWidth="1"/>
    <col min="3328" max="3328" width="19" style="3" customWidth="1"/>
    <col min="3329" max="3329" width="8" style="3" customWidth="1"/>
    <col min="3330" max="3330" width="95.140625" style="3" customWidth="1"/>
    <col min="3331" max="3331" width="12" style="3" customWidth="1"/>
    <col min="3332" max="3332" width="16.7109375" style="3" customWidth="1"/>
    <col min="3333" max="3334" width="26" style="3" customWidth="1"/>
    <col min="3335" max="3335" width="0" style="3" hidden="1" customWidth="1"/>
    <col min="3336" max="3564" width="10.85546875" style="3" customWidth="1"/>
    <col min="3565" max="3565" width="9.5703125" style="3" customWidth="1"/>
    <col min="3566" max="3566" width="9.140625" style="3" customWidth="1"/>
    <col min="3567" max="3567" width="11.28515625" style="3" customWidth="1"/>
    <col min="3568" max="3568" width="10.85546875" style="3" customWidth="1"/>
    <col min="3569" max="3570" width="0" style="3" hidden="1" customWidth="1"/>
    <col min="3571" max="3571" width="2" style="3" customWidth="1"/>
    <col min="3572" max="3582" width="10.85546875" style="3"/>
    <col min="3583" max="3583" width="0" style="3" hidden="1" customWidth="1"/>
    <col min="3584" max="3584" width="19" style="3" customWidth="1"/>
    <col min="3585" max="3585" width="8" style="3" customWidth="1"/>
    <col min="3586" max="3586" width="95.140625" style="3" customWidth="1"/>
    <col min="3587" max="3587" width="12" style="3" customWidth="1"/>
    <col min="3588" max="3588" width="16.7109375" style="3" customWidth="1"/>
    <col min="3589" max="3590" width="26" style="3" customWidth="1"/>
    <col min="3591" max="3591" width="0" style="3" hidden="1" customWidth="1"/>
    <col min="3592" max="3820" width="10.85546875" style="3" customWidth="1"/>
    <col min="3821" max="3821" width="9.5703125" style="3" customWidth="1"/>
    <col min="3822" max="3822" width="9.140625" style="3" customWidth="1"/>
    <col min="3823" max="3823" width="11.28515625" style="3" customWidth="1"/>
    <col min="3824" max="3824" width="10.85546875" style="3" customWidth="1"/>
    <col min="3825" max="3826" width="0" style="3" hidden="1" customWidth="1"/>
    <col min="3827" max="3827" width="2" style="3" customWidth="1"/>
    <col min="3828" max="3838" width="10.85546875" style="3"/>
    <col min="3839" max="3839" width="0" style="3" hidden="1" customWidth="1"/>
    <col min="3840" max="3840" width="19" style="3" customWidth="1"/>
    <col min="3841" max="3841" width="8" style="3" customWidth="1"/>
    <col min="3842" max="3842" width="95.140625" style="3" customWidth="1"/>
    <col min="3843" max="3843" width="12" style="3" customWidth="1"/>
    <col min="3844" max="3844" width="16.7109375" style="3" customWidth="1"/>
    <col min="3845" max="3846" width="26" style="3" customWidth="1"/>
    <col min="3847" max="3847" width="0" style="3" hidden="1" customWidth="1"/>
    <col min="3848" max="4076" width="10.85546875" style="3" customWidth="1"/>
    <col min="4077" max="4077" width="9.5703125" style="3" customWidth="1"/>
    <col min="4078" max="4078" width="9.140625" style="3" customWidth="1"/>
    <col min="4079" max="4079" width="11.28515625" style="3" customWidth="1"/>
    <col min="4080" max="4080" width="10.85546875" style="3" customWidth="1"/>
    <col min="4081" max="4082" width="0" style="3" hidden="1" customWidth="1"/>
    <col min="4083" max="4083" width="2" style="3" customWidth="1"/>
    <col min="4084" max="4094" width="10.85546875" style="3"/>
    <col min="4095" max="4095" width="0" style="3" hidden="1" customWidth="1"/>
    <col min="4096" max="4096" width="19" style="3" customWidth="1"/>
    <col min="4097" max="4097" width="8" style="3" customWidth="1"/>
    <col min="4098" max="4098" width="95.140625" style="3" customWidth="1"/>
    <col min="4099" max="4099" width="12" style="3" customWidth="1"/>
    <col min="4100" max="4100" width="16.7109375" style="3" customWidth="1"/>
    <col min="4101" max="4102" width="26" style="3" customWidth="1"/>
    <col min="4103" max="4103" width="0" style="3" hidden="1" customWidth="1"/>
    <col min="4104" max="4332" width="10.85546875" style="3" customWidth="1"/>
    <col min="4333" max="4333" width="9.5703125" style="3" customWidth="1"/>
    <col min="4334" max="4334" width="9.140625" style="3" customWidth="1"/>
    <col min="4335" max="4335" width="11.28515625" style="3" customWidth="1"/>
    <col min="4336" max="4336" width="10.85546875" style="3" customWidth="1"/>
    <col min="4337" max="4338" width="0" style="3" hidden="1" customWidth="1"/>
    <col min="4339" max="4339" width="2" style="3" customWidth="1"/>
    <col min="4340" max="4350" width="10.85546875" style="3"/>
    <col min="4351" max="4351" width="0" style="3" hidden="1" customWidth="1"/>
    <col min="4352" max="4352" width="19" style="3" customWidth="1"/>
    <col min="4353" max="4353" width="8" style="3" customWidth="1"/>
    <col min="4354" max="4354" width="95.140625" style="3" customWidth="1"/>
    <col min="4355" max="4355" width="12" style="3" customWidth="1"/>
    <col min="4356" max="4356" width="16.7109375" style="3" customWidth="1"/>
    <col min="4357" max="4358" width="26" style="3" customWidth="1"/>
    <col min="4359" max="4359" width="0" style="3" hidden="1" customWidth="1"/>
    <col min="4360" max="4588" width="10.85546875" style="3" customWidth="1"/>
    <col min="4589" max="4589" width="9.5703125" style="3" customWidth="1"/>
    <col min="4590" max="4590" width="9.140625" style="3" customWidth="1"/>
    <col min="4591" max="4591" width="11.28515625" style="3" customWidth="1"/>
    <col min="4592" max="4592" width="10.85546875" style="3" customWidth="1"/>
    <col min="4593" max="4594" width="0" style="3" hidden="1" customWidth="1"/>
    <col min="4595" max="4595" width="2" style="3" customWidth="1"/>
    <col min="4596" max="4606" width="10.85546875" style="3"/>
    <col min="4607" max="4607" width="0" style="3" hidden="1" customWidth="1"/>
    <col min="4608" max="4608" width="19" style="3" customWidth="1"/>
    <col min="4609" max="4609" width="8" style="3" customWidth="1"/>
    <col min="4610" max="4610" width="95.140625" style="3" customWidth="1"/>
    <col min="4611" max="4611" width="12" style="3" customWidth="1"/>
    <col min="4612" max="4612" width="16.7109375" style="3" customWidth="1"/>
    <col min="4613" max="4614" width="26" style="3" customWidth="1"/>
    <col min="4615" max="4615" width="0" style="3" hidden="1" customWidth="1"/>
    <col min="4616" max="4844" width="10.85546875" style="3" customWidth="1"/>
    <col min="4845" max="4845" width="9.5703125" style="3" customWidth="1"/>
    <col min="4846" max="4846" width="9.140625" style="3" customWidth="1"/>
    <col min="4847" max="4847" width="11.28515625" style="3" customWidth="1"/>
    <col min="4848" max="4848" width="10.85546875" style="3" customWidth="1"/>
    <col min="4849" max="4850" width="0" style="3" hidden="1" customWidth="1"/>
    <col min="4851" max="4851" width="2" style="3" customWidth="1"/>
    <col min="4852" max="4862" width="10.85546875" style="3"/>
    <col min="4863" max="4863" width="0" style="3" hidden="1" customWidth="1"/>
    <col min="4864" max="4864" width="19" style="3" customWidth="1"/>
    <col min="4865" max="4865" width="8" style="3" customWidth="1"/>
    <col min="4866" max="4866" width="95.140625" style="3" customWidth="1"/>
    <col min="4867" max="4867" width="12" style="3" customWidth="1"/>
    <col min="4868" max="4868" width="16.7109375" style="3" customWidth="1"/>
    <col min="4869" max="4870" width="26" style="3" customWidth="1"/>
    <col min="4871" max="4871" width="0" style="3" hidden="1" customWidth="1"/>
    <col min="4872" max="5100" width="10.85546875" style="3" customWidth="1"/>
    <col min="5101" max="5101" width="9.5703125" style="3" customWidth="1"/>
    <col min="5102" max="5102" width="9.140625" style="3" customWidth="1"/>
    <col min="5103" max="5103" width="11.28515625" style="3" customWidth="1"/>
    <col min="5104" max="5104" width="10.85546875" style="3" customWidth="1"/>
    <col min="5105" max="5106" width="0" style="3" hidden="1" customWidth="1"/>
    <col min="5107" max="5107" width="2" style="3" customWidth="1"/>
    <col min="5108" max="5118" width="10.85546875" style="3"/>
    <col min="5119" max="5119" width="0" style="3" hidden="1" customWidth="1"/>
    <col min="5120" max="5120" width="19" style="3" customWidth="1"/>
    <col min="5121" max="5121" width="8" style="3" customWidth="1"/>
    <col min="5122" max="5122" width="95.140625" style="3" customWidth="1"/>
    <col min="5123" max="5123" width="12" style="3" customWidth="1"/>
    <col min="5124" max="5124" width="16.7109375" style="3" customWidth="1"/>
    <col min="5125" max="5126" width="26" style="3" customWidth="1"/>
    <col min="5127" max="5127" width="0" style="3" hidden="1" customWidth="1"/>
    <col min="5128" max="5356" width="10.85546875" style="3" customWidth="1"/>
    <col min="5357" max="5357" width="9.5703125" style="3" customWidth="1"/>
    <col min="5358" max="5358" width="9.140625" style="3" customWidth="1"/>
    <col min="5359" max="5359" width="11.28515625" style="3" customWidth="1"/>
    <col min="5360" max="5360" width="10.85546875" style="3" customWidth="1"/>
    <col min="5361" max="5362" width="0" style="3" hidden="1" customWidth="1"/>
    <col min="5363" max="5363" width="2" style="3" customWidth="1"/>
    <col min="5364" max="5374" width="10.85546875" style="3"/>
    <col min="5375" max="5375" width="0" style="3" hidden="1" customWidth="1"/>
    <col min="5376" max="5376" width="19" style="3" customWidth="1"/>
    <col min="5377" max="5377" width="8" style="3" customWidth="1"/>
    <col min="5378" max="5378" width="95.140625" style="3" customWidth="1"/>
    <col min="5379" max="5379" width="12" style="3" customWidth="1"/>
    <col min="5380" max="5380" width="16.7109375" style="3" customWidth="1"/>
    <col min="5381" max="5382" width="26" style="3" customWidth="1"/>
    <col min="5383" max="5383" width="0" style="3" hidden="1" customWidth="1"/>
    <col min="5384" max="5612" width="10.85546875" style="3" customWidth="1"/>
    <col min="5613" max="5613" width="9.5703125" style="3" customWidth="1"/>
    <col min="5614" max="5614" width="9.140625" style="3" customWidth="1"/>
    <col min="5615" max="5615" width="11.28515625" style="3" customWidth="1"/>
    <col min="5616" max="5616" width="10.85546875" style="3" customWidth="1"/>
    <col min="5617" max="5618" width="0" style="3" hidden="1" customWidth="1"/>
    <col min="5619" max="5619" width="2" style="3" customWidth="1"/>
    <col min="5620" max="5630" width="10.85546875" style="3"/>
    <col min="5631" max="5631" width="0" style="3" hidden="1" customWidth="1"/>
    <col min="5632" max="5632" width="19" style="3" customWidth="1"/>
    <col min="5633" max="5633" width="8" style="3" customWidth="1"/>
    <col min="5634" max="5634" width="95.140625" style="3" customWidth="1"/>
    <col min="5635" max="5635" width="12" style="3" customWidth="1"/>
    <col min="5636" max="5636" width="16.7109375" style="3" customWidth="1"/>
    <col min="5637" max="5638" width="26" style="3" customWidth="1"/>
    <col min="5639" max="5639" width="0" style="3" hidden="1" customWidth="1"/>
    <col min="5640" max="5868" width="10.85546875" style="3" customWidth="1"/>
    <col min="5869" max="5869" width="9.5703125" style="3" customWidth="1"/>
    <col min="5870" max="5870" width="9.140625" style="3" customWidth="1"/>
    <col min="5871" max="5871" width="11.28515625" style="3" customWidth="1"/>
    <col min="5872" max="5872" width="10.85546875" style="3" customWidth="1"/>
    <col min="5873" max="5874" width="0" style="3" hidden="1" customWidth="1"/>
    <col min="5875" max="5875" width="2" style="3" customWidth="1"/>
    <col min="5876" max="5886" width="10.85546875" style="3"/>
    <col min="5887" max="5887" width="0" style="3" hidden="1" customWidth="1"/>
    <col min="5888" max="5888" width="19" style="3" customWidth="1"/>
    <col min="5889" max="5889" width="8" style="3" customWidth="1"/>
    <col min="5890" max="5890" width="95.140625" style="3" customWidth="1"/>
    <col min="5891" max="5891" width="12" style="3" customWidth="1"/>
    <col min="5892" max="5892" width="16.7109375" style="3" customWidth="1"/>
    <col min="5893" max="5894" width="26" style="3" customWidth="1"/>
    <col min="5895" max="5895" width="0" style="3" hidden="1" customWidth="1"/>
    <col min="5896" max="6124" width="10.85546875" style="3" customWidth="1"/>
    <col min="6125" max="6125" width="9.5703125" style="3" customWidth="1"/>
    <col min="6126" max="6126" width="9.140625" style="3" customWidth="1"/>
    <col min="6127" max="6127" width="11.28515625" style="3" customWidth="1"/>
    <col min="6128" max="6128" width="10.85546875" style="3" customWidth="1"/>
    <col min="6129" max="6130" width="0" style="3" hidden="1" customWidth="1"/>
    <col min="6131" max="6131" width="2" style="3" customWidth="1"/>
    <col min="6132" max="6142" width="10.85546875" style="3"/>
    <col min="6143" max="6143" width="0" style="3" hidden="1" customWidth="1"/>
    <col min="6144" max="6144" width="19" style="3" customWidth="1"/>
    <col min="6145" max="6145" width="8" style="3" customWidth="1"/>
    <col min="6146" max="6146" width="95.140625" style="3" customWidth="1"/>
    <col min="6147" max="6147" width="12" style="3" customWidth="1"/>
    <col min="6148" max="6148" width="16.7109375" style="3" customWidth="1"/>
    <col min="6149" max="6150" width="26" style="3" customWidth="1"/>
    <col min="6151" max="6151" width="0" style="3" hidden="1" customWidth="1"/>
    <col min="6152" max="6380" width="10.85546875" style="3" customWidth="1"/>
    <col min="6381" max="6381" width="9.5703125" style="3" customWidth="1"/>
    <col min="6382" max="6382" width="9.140625" style="3" customWidth="1"/>
    <col min="6383" max="6383" width="11.28515625" style="3" customWidth="1"/>
    <col min="6384" max="6384" width="10.85546875" style="3" customWidth="1"/>
    <col min="6385" max="6386" width="0" style="3" hidden="1" customWidth="1"/>
    <col min="6387" max="6387" width="2" style="3" customWidth="1"/>
    <col min="6388" max="6398" width="10.85546875" style="3"/>
    <col min="6399" max="6399" width="0" style="3" hidden="1" customWidth="1"/>
    <col min="6400" max="6400" width="19" style="3" customWidth="1"/>
    <col min="6401" max="6401" width="8" style="3" customWidth="1"/>
    <col min="6402" max="6402" width="95.140625" style="3" customWidth="1"/>
    <col min="6403" max="6403" width="12" style="3" customWidth="1"/>
    <col min="6404" max="6404" width="16.7109375" style="3" customWidth="1"/>
    <col min="6405" max="6406" width="26" style="3" customWidth="1"/>
    <col min="6407" max="6407" width="0" style="3" hidden="1" customWidth="1"/>
    <col min="6408" max="6636" width="10.85546875" style="3" customWidth="1"/>
    <col min="6637" max="6637" width="9.5703125" style="3" customWidth="1"/>
    <col min="6638" max="6638" width="9.140625" style="3" customWidth="1"/>
    <col min="6639" max="6639" width="11.28515625" style="3" customWidth="1"/>
    <col min="6640" max="6640" width="10.85546875" style="3" customWidth="1"/>
    <col min="6641" max="6642" width="0" style="3" hidden="1" customWidth="1"/>
    <col min="6643" max="6643" width="2" style="3" customWidth="1"/>
    <col min="6644" max="6654" width="10.85546875" style="3"/>
    <col min="6655" max="6655" width="0" style="3" hidden="1" customWidth="1"/>
    <col min="6656" max="6656" width="19" style="3" customWidth="1"/>
    <col min="6657" max="6657" width="8" style="3" customWidth="1"/>
    <col min="6658" max="6658" width="95.140625" style="3" customWidth="1"/>
    <col min="6659" max="6659" width="12" style="3" customWidth="1"/>
    <col min="6660" max="6660" width="16.7109375" style="3" customWidth="1"/>
    <col min="6661" max="6662" width="26" style="3" customWidth="1"/>
    <col min="6663" max="6663" width="0" style="3" hidden="1" customWidth="1"/>
    <col min="6664" max="6892" width="10.85546875" style="3" customWidth="1"/>
    <col min="6893" max="6893" width="9.5703125" style="3" customWidth="1"/>
    <col min="6894" max="6894" width="9.140625" style="3" customWidth="1"/>
    <col min="6895" max="6895" width="11.28515625" style="3" customWidth="1"/>
    <col min="6896" max="6896" width="10.85546875" style="3" customWidth="1"/>
    <col min="6897" max="6898" width="0" style="3" hidden="1" customWidth="1"/>
    <col min="6899" max="6899" width="2" style="3" customWidth="1"/>
    <col min="6900" max="6910" width="10.85546875" style="3"/>
    <col min="6911" max="6911" width="0" style="3" hidden="1" customWidth="1"/>
    <col min="6912" max="6912" width="19" style="3" customWidth="1"/>
    <col min="6913" max="6913" width="8" style="3" customWidth="1"/>
    <col min="6914" max="6914" width="95.140625" style="3" customWidth="1"/>
    <col min="6915" max="6915" width="12" style="3" customWidth="1"/>
    <col min="6916" max="6916" width="16.7109375" style="3" customWidth="1"/>
    <col min="6917" max="6918" width="26" style="3" customWidth="1"/>
    <col min="6919" max="6919" width="0" style="3" hidden="1" customWidth="1"/>
    <col min="6920" max="7148" width="10.85546875" style="3" customWidth="1"/>
    <col min="7149" max="7149" width="9.5703125" style="3" customWidth="1"/>
    <col min="7150" max="7150" width="9.140625" style="3" customWidth="1"/>
    <col min="7151" max="7151" width="11.28515625" style="3" customWidth="1"/>
    <col min="7152" max="7152" width="10.85546875" style="3" customWidth="1"/>
    <col min="7153" max="7154" width="0" style="3" hidden="1" customWidth="1"/>
    <col min="7155" max="7155" width="2" style="3" customWidth="1"/>
    <col min="7156" max="7166" width="10.85546875" style="3"/>
    <col min="7167" max="7167" width="0" style="3" hidden="1" customWidth="1"/>
    <col min="7168" max="7168" width="19" style="3" customWidth="1"/>
    <col min="7169" max="7169" width="8" style="3" customWidth="1"/>
    <col min="7170" max="7170" width="95.140625" style="3" customWidth="1"/>
    <col min="7171" max="7171" width="12" style="3" customWidth="1"/>
    <col min="7172" max="7172" width="16.7109375" style="3" customWidth="1"/>
    <col min="7173" max="7174" width="26" style="3" customWidth="1"/>
    <col min="7175" max="7175" width="0" style="3" hidden="1" customWidth="1"/>
    <col min="7176" max="7404" width="10.85546875" style="3" customWidth="1"/>
    <col min="7405" max="7405" width="9.5703125" style="3" customWidth="1"/>
    <col min="7406" max="7406" width="9.140625" style="3" customWidth="1"/>
    <col min="7407" max="7407" width="11.28515625" style="3" customWidth="1"/>
    <col min="7408" max="7408" width="10.85546875" style="3" customWidth="1"/>
    <col min="7409" max="7410" width="0" style="3" hidden="1" customWidth="1"/>
    <col min="7411" max="7411" width="2" style="3" customWidth="1"/>
    <col min="7412" max="7422" width="10.85546875" style="3"/>
    <col min="7423" max="7423" width="0" style="3" hidden="1" customWidth="1"/>
    <col min="7424" max="7424" width="19" style="3" customWidth="1"/>
    <col min="7425" max="7425" width="8" style="3" customWidth="1"/>
    <col min="7426" max="7426" width="95.140625" style="3" customWidth="1"/>
    <col min="7427" max="7427" width="12" style="3" customWidth="1"/>
    <col min="7428" max="7428" width="16.7109375" style="3" customWidth="1"/>
    <col min="7429" max="7430" width="26" style="3" customWidth="1"/>
    <col min="7431" max="7431" width="0" style="3" hidden="1" customWidth="1"/>
    <col min="7432" max="7660" width="10.85546875" style="3" customWidth="1"/>
    <col min="7661" max="7661" width="9.5703125" style="3" customWidth="1"/>
    <col min="7662" max="7662" width="9.140625" style="3" customWidth="1"/>
    <col min="7663" max="7663" width="11.28515625" style="3" customWidth="1"/>
    <col min="7664" max="7664" width="10.85546875" style="3" customWidth="1"/>
    <col min="7665" max="7666" width="0" style="3" hidden="1" customWidth="1"/>
    <col min="7667" max="7667" width="2" style="3" customWidth="1"/>
    <col min="7668" max="7678" width="10.85546875" style="3"/>
    <col min="7679" max="7679" width="0" style="3" hidden="1" customWidth="1"/>
    <col min="7680" max="7680" width="19" style="3" customWidth="1"/>
    <col min="7681" max="7681" width="8" style="3" customWidth="1"/>
    <col min="7682" max="7682" width="95.140625" style="3" customWidth="1"/>
    <col min="7683" max="7683" width="12" style="3" customWidth="1"/>
    <col min="7684" max="7684" width="16.7109375" style="3" customWidth="1"/>
    <col min="7685" max="7686" width="26" style="3" customWidth="1"/>
    <col min="7687" max="7687" width="0" style="3" hidden="1" customWidth="1"/>
    <col min="7688" max="7916" width="10.85546875" style="3" customWidth="1"/>
    <col min="7917" max="7917" width="9.5703125" style="3" customWidth="1"/>
    <col min="7918" max="7918" width="9.140625" style="3" customWidth="1"/>
    <col min="7919" max="7919" width="11.28515625" style="3" customWidth="1"/>
    <col min="7920" max="7920" width="10.85546875" style="3" customWidth="1"/>
    <col min="7921" max="7922" width="0" style="3" hidden="1" customWidth="1"/>
    <col min="7923" max="7923" width="2" style="3" customWidth="1"/>
    <col min="7924" max="7934" width="10.85546875" style="3"/>
    <col min="7935" max="7935" width="0" style="3" hidden="1" customWidth="1"/>
    <col min="7936" max="7936" width="19" style="3" customWidth="1"/>
    <col min="7937" max="7937" width="8" style="3" customWidth="1"/>
    <col min="7938" max="7938" width="95.140625" style="3" customWidth="1"/>
    <col min="7939" max="7939" width="12" style="3" customWidth="1"/>
    <col min="7940" max="7940" width="16.7109375" style="3" customWidth="1"/>
    <col min="7941" max="7942" width="26" style="3" customWidth="1"/>
    <col min="7943" max="7943" width="0" style="3" hidden="1" customWidth="1"/>
    <col min="7944" max="8172" width="10.85546875" style="3" customWidth="1"/>
    <col min="8173" max="8173" width="9.5703125" style="3" customWidth="1"/>
    <col min="8174" max="8174" width="9.140625" style="3" customWidth="1"/>
    <col min="8175" max="8175" width="11.28515625" style="3" customWidth="1"/>
    <col min="8176" max="8176" width="10.85546875" style="3" customWidth="1"/>
    <col min="8177" max="8178" width="0" style="3" hidden="1" customWidth="1"/>
    <col min="8179" max="8179" width="2" style="3" customWidth="1"/>
    <col min="8180" max="8190" width="10.85546875" style="3"/>
    <col min="8191" max="8191" width="0" style="3" hidden="1" customWidth="1"/>
    <col min="8192" max="8192" width="19" style="3" customWidth="1"/>
    <col min="8193" max="8193" width="8" style="3" customWidth="1"/>
    <col min="8194" max="8194" width="95.140625" style="3" customWidth="1"/>
    <col min="8195" max="8195" width="12" style="3" customWidth="1"/>
    <col min="8196" max="8196" width="16.7109375" style="3" customWidth="1"/>
    <col min="8197" max="8198" width="26" style="3" customWidth="1"/>
    <col min="8199" max="8199" width="0" style="3" hidden="1" customWidth="1"/>
    <col min="8200" max="8428" width="10.85546875" style="3" customWidth="1"/>
    <col min="8429" max="8429" width="9.5703125" style="3" customWidth="1"/>
    <col min="8430" max="8430" width="9.140625" style="3" customWidth="1"/>
    <col min="8431" max="8431" width="11.28515625" style="3" customWidth="1"/>
    <col min="8432" max="8432" width="10.85546875" style="3" customWidth="1"/>
    <col min="8433" max="8434" width="0" style="3" hidden="1" customWidth="1"/>
    <col min="8435" max="8435" width="2" style="3" customWidth="1"/>
    <col min="8436" max="8446" width="10.85546875" style="3"/>
    <col min="8447" max="8447" width="0" style="3" hidden="1" customWidth="1"/>
    <col min="8448" max="8448" width="19" style="3" customWidth="1"/>
    <col min="8449" max="8449" width="8" style="3" customWidth="1"/>
    <col min="8450" max="8450" width="95.140625" style="3" customWidth="1"/>
    <col min="8451" max="8451" width="12" style="3" customWidth="1"/>
    <col min="8452" max="8452" width="16.7109375" style="3" customWidth="1"/>
    <col min="8453" max="8454" width="26" style="3" customWidth="1"/>
    <col min="8455" max="8455" width="0" style="3" hidden="1" customWidth="1"/>
    <col min="8456" max="8684" width="10.85546875" style="3" customWidth="1"/>
    <col min="8685" max="8685" width="9.5703125" style="3" customWidth="1"/>
    <col min="8686" max="8686" width="9.140625" style="3" customWidth="1"/>
    <col min="8687" max="8687" width="11.28515625" style="3" customWidth="1"/>
    <col min="8688" max="8688" width="10.85546875" style="3" customWidth="1"/>
    <col min="8689" max="8690" width="0" style="3" hidden="1" customWidth="1"/>
    <col min="8691" max="8691" width="2" style="3" customWidth="1"/>
    <col min="8692" max="8702" width="10.85546875" style="3"/>
    <col min="8703" max="8703" width="0" style="3" hidden="1" customWidth="1"/>
    <col min="8704" max="8704" width="19" style="3" customWidth="1"/>
    <col min="8705" max="8705" width="8" style="3" customWidth="1"/>
    <col min="8706" max="8706" width="95.140625" style="3" customWidth="1"/>
    <col min="8707" max="8707" width="12" style="3" customWidth="1"/>
    <col min="8708" max="8708" width="16.7109375" style="3" customWidth="1"/>
    <col min="8709" max="8710" width="26" style="3" customWidth="1"/>
    <col min="8711" max="8711" width="0" style="3" hidden="1" customWidth="1"/>
    <col min="8712" max="8940" width="10.85546875" style="3" customWidth="1"/>
    <col min="8941" max="8941" width="9.5703125" style="3" customWidth="1"/>
    <col min="8942" max="8942" width="9.140625" style="3" customWidth="1"/>
    <col min="8943" max="8943" width="11.28515625" style="3" customWidth="1"/>
    <col min="8944" max="8944" width="10.85546875" style="3" customWidth="1"/>
    <col min="8945" max="8946" width="0" style="3" hidden="1" customWidth="1"/>
    <col min="8947" max="8947" width="2" style="3" customWidth="1"/>
    <col min="8948" max="8958" width="10.85546875" style="3"/>
    <col min="8959" max="8959" width="0" style="3" hidden="1" customWidth="1"/>
    <col min="8960" max="8960" width="19" style="3" customWidth="1"/>
    <col min="8961" max="8961" width="8" style="3" customWidth="1"/>
    <col min="8962" max="8962" width="95.140625" style="3" customWidth="1"/>
    <col min="8963" max="8963" width="12" style="3" customWidth="1"/>
    <col min="8964" max="8964" width="16.7109375" style="3" customWidth="1"/>
    <col min="8965" max="8966" width="26" style="3" customWidth="1"/>
    <col min="8967" max="8967" width="0" style="3" hidden="1" customWidth="1"/>
    <col min="8968" max="9196" width="10.85546875" style="3" customWidth="1"/>
    <col min="9197" max="9197" width="9.5703125" style="3" customWidth="1"/>
    <col min="9198" max="9198" width="9.140625" style="3" customWidth="1"/>
    <col min="9199" max="9199" width="11.28515625" style="3" customWidth="1"/>
    <col min="9200" max="9200" width="10.85546875" style="3" customWidth="1"/>
    <col min="9201" max="9202" width="0" style="3" hidden="1" customWidth="1"/>
    <col min="9203" max="9203" width="2" style="3" customWidth="1"/>
    <col min="9204" max="9214" width="10.85546875" style="3"/>
    <col min="9215" max="9215" width="0" style="3" hidden="1" customWidth="1"/>
    <col min="9216" max="9216" width="19" style="3" customWidth="1"/>
    <col min="9217" max="9217" width="8" style="3" customWidth="1"/>
    <col min="9218" max="9218" width="95.140625" style="3" customWidth="1"/>
    <col min="9219" max="9219" width="12" style="3" customWidth="1"/>
    <col min="9220" max="9220" width="16.7109375" style="3" customWidth="1"/>
    <col min="9221" max="9222" width="26" style="3" customWidth="1"/>
    <col min="9223" max="9223" width="0" style="3" hidden="1" customWidth="1"/>
    <col min="9224" max="9452" width="10.85546875" style="3" customWidth="1"/>
    <col min="9453" max="9453" width="9.5703125" style="3" customWidth="1"/>
    <col min="9454" max="9454" width="9.140625" style="3" customWidth="1"/>
    <col min="9455" max="9455" width="11.28515625" style="3" customWidth="1"/>
    <col min="9456" max="9456" width="10.85546875" style="3" customWidth="1"/>
    <col min="9457" max="9458" width="0" style="3" hidden="1" customWidth="1"/>
    <col min="9459" max="9459" width="2" style="3" customWidth="1"/>
    <col min="9460" max="9470" width="10.85546875" style="3"/>
    <col min="9471" max="9471" width="0" style="3" hidden="1" customWidth="1"/>
    <col min="9472" max="9472" width="19" style="3" customWidth="1"/>
    <col min="9473" max="9473" width="8" style="3" customWidth="1"/>
    <col min="9474" max="9474" width="95.140625" style="3" customWidth="1"/>
    <col min="9475" max="9475" width="12" style="3" customWidth="1"/>
    <col min="9476" max="9476" width="16.7109375" style="3" customWidth="1"/>
    <col min="9477" max="9478" width="26" style="3" customWidth="1"/>
    <col min="9479" max="9479" width="0" style="3" hidden="1" customWidth="1"/>
    <col min="9480" max="9708" width="10.85546875" style="3" customWidth="1"/>
    <col min="9709" max="9709" width="9.5703125" style="3" customWidth="1"/>
    <col min="9710" max="9710" width="9.140625" style="3" customWidth="1"/>
    <col min="9711" max="9711" width="11.28515625" style="3" customWidth="1"/>
    <col min="9712" max="9712" width="10.85546875" style="3" customWidth="1"/>
    <col min="9713" max="9714" width="0" style="3" hidden="1" customWidth="1"/>
    <col min="9715" max="9715" width="2" style="3" customWidth="1"/>
    <col min="9716" max="9726" width="10.85546875" style="3"/>
    <col min="9727" max="9727" width="0" style="3" hidden="1" customWidth="1"/>
    <col min="9728" max="9728" width="19" style="3" customWidth="1"/>
    <col min="9729" max="9729" width="8" style="3" customWidth="1"/>
    <col min="9730" max="9730" width="95.140625" style="3" customWidth="1"/>
    <col min="9731" max="9731" width="12" style="3" customWidth="1"/>
    <col min="9732" max="9732" width="16.7109375" style="3" customWidth="1"/>
    <col min="9733" max="9734" width="26" style="3" customWidth="1"/>
    <col min="9735" max="9735" width="0" style="3" hidden="1" customWidth="1"/>
    <col min="9736" max="9964" width="10.85546875" style="3" customWidth="1"/>
    <col min="9965" max="9965" width="9.5703125" style="3" customWidth="1"/>
    <col min="9966" max="9966" width="9.140625" style="3" customWidth="1"/>
    <col min="9967" max="9967" width="11.28515625" style="3" customWidth="1"/>
    <col min="9968" max="9968" width="10.85546875" style="3" customWidth="1"/>
    <col min="9969" max="9970" width="0" style="3" hidden="1" customWidth="1"/>
    <col min="9971" max="9971" width="2" style="3" customWidth="1"/>
    <col min="9972" max="9982" width="10.85546875" style="3"/>
    <col min="9983" max="9983" width="0" style="3" hidden="1" customWidth="1"/>
    <col min="9984" max="9984" width="19" style="3" customWidth="1"/>
    <col min="9985" max="9985" width="8" style="3" customWidth="1"/>
    <col min="9986" max="9986" width="95.140625" style="3" customWidth="1"/>
    <col min="9987" max="9987" width="12" style="3" customWidth="1"/>
    <col min="9988" max="9988" width="16.7109375" style="3" customWidth="1"/>
    <col min="9989" max="9990" width="26" style="3" customWidth="1"/>
    <col min="9991" max="9991" width="0" style="3" hidden="1" customWidth="1"/>
    <col min="9992" max="10220" width="10.85546875" style="3" customWidth="1"/>
    <col min="10221" max="10221" width="9.5703125" style="3" customWidth="1"/>
    <col min="10222" max="10222" width="9.140625" style="3" customWidth="1"/>
    <col min="10223" max="10223" width="11.28515625" style="3" customWidth="1"/>
    <col min="10224" max="10224" width="10.85546875" style="3" customWidth="1"/>
    <col min="10225" max="10226" width="0" style="3" hidden="1" customWidth="1"/>
    <col min="10227" max="10227" width="2" style="3" customWidth="1"/>
    <col min="10228" max="10238" width="10.85546875" style="3"/>
    <col min="10239" max="10239" width="0" style="3" hidden="1" customWidth="1"/>
    <col min="10240" max="10240" width="19" style="3" customWidth="1"/>
    <col min="10241" max="10241" width="8" style="3" customWidth="1"/>
    <col min="10242" max="10242" width="95.140625" style="3" customWidth="1"/>
    <col min="10243" max="10243" width="12" style="3" customWidth="1"/>
    <col min="10244" max="10244" width="16.7109375" style="3" customWidth="1"/>
    <col min="10245" max="10246" width="26" style="3" customWidth="1"/>
    <col min="10247" max="10247" width="0" style="3" hidden="1" customWidth="1"/>
    <col min="10248" max="10476" width="10.85546875" style="3" customWidth="1"/>
    <col min="10477" max="10477" width="9.5703125" style="3" customWidth="1"/>
    <col min="10478" max="10478" width="9.140625" style="3" customWidth="1"/>
    <col min="10479" max="10479" width="11.28515625" style="3" customWidth="1"/>
    <col min="10480" max="10480" width="10.85546875" style="3" customWidth="1"/>
    <col min="10481" max="10482" width="0" style="3" hidden="1" customWidth="1"/>
    <col min="10483" max="10483" width="2" style="3" customWidth="1"/>
    <col min="10484" max="10494" width="10.85546875" style="3"/>
    <col min="10495" max="10495" width="0" style="3" hidden="1" customWidth="1"/>
    <col min="10496" max="10496" width="19" style="3" customWidth="1"/>
    <col min="10497" max="10497" width="8" style="3" customWidth="1"/>
    <col min="10498" max="10498" width="95.140625" style="3" customWidth="1"/>
    <col min="10499" max="10499" width="12" style="3" customWidth="1"/>
    <col min="10500" max="10500" width="16.7109375" style="3" customWidth="1"/>
    <col min="10501" max="10502" width="26" style="3" customWidth="1"/>
    <col min="10503" max="10503" width="0" style="3" hidden="1" customWidth="1"/>
    <col min="10504" max="10732" width="10.85546875" style="3" customWidth="1"/>
    <col min="10733" max="10733" width="9.5703125" style="3" customWidth="1"/>
    <col min="10734" max="10734" width="9.140625" style="3" customWidth="1"/>
    <col min="10735" max="10735" width="11.28515625" style="3" customWidth="1"/>
    <col min="10736" max="10736" width="10.85546875" style="3" customWidth="1"/>
    <col min="10737" max="10738" width="0" style="3" hidden="1" customWidth="1"/>
    <col min="10739" max="10739" width="2" style="3" customWidth="1"/>
    <col min="10740" max="10750" width="10.85546875" style="3"/>
    <col min="10751" max="10751" width="0" style="3" hidden="1" customWidth="1"/>
    <col min="10752" max="10752" width="19" style="3" customWidth="1"/>
    <col min="10753" max="10753" width="8" style="3" customWidth="1"/>
    <col min="10754" max="10754" width="95.140625" style="3" customWidth="1"/>
    <col min="10755" max="10755" width="12" style="3" customWidth="1"/>
    <col min="10756" max="10756" width="16.7109375" style="3" customWidth="1"/>
    <col min="10757" max="10758" width="26" style="3" customWidth="1"/>
    <col min="10759" max="10759" width="0" style="3" hidden="1" customWidth="1"/>
    <col min="10760" max="10988" width="10.85546875" style="3" customWidth="1"/>
    <col min="10989" max="10989" width="9.5703125" style="3" customWidth="1"/>
    <col min="10990" max="10990" width="9.140625" style="3" customWidth="1"/>
    <col min="10991" max="10991" width="11.28515625" style="3" customWidth="1"/>
    <col min="10992" max="10992" width="10.85546875" style="3" customWidth="1"/>
    <col min="10993" max="10994" width="0" style="3" hidden="1" customWidth="1"/>
    <col min="10995" max="10995" width="2" style="3" customWidth="1"/>
    <col min="10996" max="11006" width="10.85546875" style="3"/>
    <col min="11007" max="11007" width="0" style="3" hidden="1" customWidth="1"/>
    <col min="11008" max="11008" width="19" style="3" customWidth="1"/>
    <col min="11009" max="11009" width="8" style="3" customWidth="1"/>
    <col min="11010" max="11010" width="95.140625" style="3" customWidth="1"/>
    <col min="11011" max="11011" width="12" style="3" customWidth="1"/>
    <col min="11012" max="11012" width="16.7109375" style="3" customWidth="1"/>
    <col min="11013" max="11014" width="26" style="3" customWidth="1"/>
    <col min="11015" max="11015" width="0" style="3" hidden="1" customWidth="1"/>
    <col min="11016" max="11244" width="10.85546875" style="3" customWidth="1"/>
    <col min="11245" max="11245" width="9.5703125" style="3" customWidth="1"/>
    <col min="11246" max="11246" width="9.140625" style="3" customWidth="1"/>
    <col min="11247" max="11247" width="11.28515625" style="3" customWidth="1"/>
    <col min="11248" max="11248" width="10.85546875" style="3" customWidth="1"/>
    <col min="11249" max="11250" width="0" style="3" hidden="1" customWidth="1"/>
    <col min="11251" max="11251" width="2" style="3" customWidth="1"/>
    <col min="11252" max="11262" width="10.85546875" style="3"/>
    <col min="11263" max="11263" width="0" style="3" hidden="1" customWidth="1"/>
    <col min="11264" max="11264" width="19" style="3" customWidth="1"/>
    <col min="11265" max="11265" width="8" style="3" customWidth="1"/>
    <col min="11266" max="11266" width="95.140625" style="3" customWidth="1"/>
    <col min="11267" max="11267" width="12" style="3" customWidth="1"/>
    <col min="11268" max="11268" width="16.7109375" style="3" customWidth="1"/>
    <col min="11269" max="11270" width="26" style="3" customWidth="1"/>
    <col min="11271" max="11271" width="0" style="3" hidden="1" customWidth="1"/>
    <col min="11272" max="11500" width="10.85546875" style="3" customWidth="1"/>
    <col min="11501" max="11501" width="9.5703125" style="3" customWidth="1"/>
    <col min="11502" max="11502" width="9.140625" style="3" customWidth="1"/>
    <col min="11503" max="11503" width="11.28515625" style="3" customWidth="1"/>
    <col min="11504" max="11504" width="10.85546875" style="3" customWidth="1"/>
    <col min="11505" max="11506" width="0" style="3" hidden="1" customWidth="1"/>
    <col min="11507" max="11507" width="2" style="3" customWidth="1"/>
    <col min="11508" max="11518" width="10.85546875" style="3"/>
    <col min="11519" max="11519" width="0" style="3" hidden="1" customWidth="1"/>
    <col min="11520" max="11520" width="19" style="3" customWidth="1"/>
    <col min="11521" max="11521" width="8" style="3" customWidth="1"/>
    <col min="11522" max="11522" width="95.140625" style="3" customWidth="1"/>
    <col min="11523" max="11523" width="12" style="3" customWidth="1"/>
    <col min="11524" max="11524" width="16.7109375" style="3" customWidth="1"/>
    <col min="11525" max="11526" width="26" style="3" customWidth="1"/>
    <col min="11527" max="11527" width="0" style="3" hidden="1" customWidth="1"/>
    <col min="11528" max="11756" width="10.85546875" style="3" customWidth="1"/>
    <col min="11757" max="11757" width="9.5703125" style="3" customWidth="1"/>
    <col min="11758" max="11758" width="9.140625" style="3" customWidth="1"/>
    <col min="11759" max="11759" width="11.28515625" style="3" customWidth="1"/>
    <col min="11760" max="11760" width="10.85546875" style="3" customWidth="1"/>
    <col min="11761" max="11762" width="0" style="3" hidden="1" customWidth="1"/>
    <col min="11763" max="11763" width="2" style="3" customWidth="1"/>
    <col min="11764" max="11774" width="10.85546875" style="3"/>
    <col min="11775" max="11775" width="0" style="3" hidden="1" customWidth="1"/>
    <col min="11776" max="11776" width="19" style="3" customWidth="1"/>
    <col min="11777" max="11777" width="8" style="3" customWidth="1"/>
    <col min="11778" max="11778" width="95.140625" style="3" customWidth="1"/>
    <col min="11779" max="11779" width="12" style="3" customWidth="1"/>
    <col min="11780" max="11780" width="16.7109375" style="3" customWidth="1"/>
    <col min="11781" max="11782" width="26" style="3" customWidth="1"/>
    <col min="11783" max="11783" width="0" style="3" hidden="1" customWidth="1"/>
    <col min="11784" max="12012" width="10.85546875" style="3" customWidth="1"/>
    <col min="12013" max="12013" width="9.5703125" style="3" customWidth="1"/>
    <col min="12014" max="12014" width="9.140625" style="3" customWidth="1"/>
    <col min="12015" max="12015" width="11.28515625" style="3" customWidth="1"/>
    <col min="12016" max="12016" width="10.85546875" style="3" customWidth="1"/>
    <col min="12017" max="12018" width="0" style="3" hidden="1" customWidth="1"/>
    <col min="12019" max="12019" width="2" style="3" customWidth="1"/>
    <col min="12020" max="12030" width="10.85546875" style="3"/>
    <col min="12031" max="12031" width="0" style="3" hidden="1" customWidth="1"/>
    <col min="12032" max="12032" width="19" style="3" customWidth="1"/>
    <col min="12033" max="12033" width="8" style="3" customWidth="1"/>
    <col min="12034" max="12034" width="95.140625" style="3" customWidth="1"/>
    <col min="12035" max="12035" width="12" style="3" customWidth="1"/>
    <col min="12036" max="12036" width="16.7109375" style="3" customWidth="1"/>
    <col min="12037" max="12038" width="26" style="3" customWidth="1"/>
    <col min="12039" max="12039" width="0" style="3" hidden="1" customWidth="1"/>
    <col min="12040" max="12268" width="10.85546875" style="3" customWidth="1"/>
    <col min="12269" max="12269" width="9.5703125" style="3" customWidth="1"/>
    <col min="12270" max="12270" width="9.140625" style="3" customWidth="1"/>
    <col min="12271" max="12271" width="11.28515625" style="3" customWidth="1"/>
    <col min="12272" max="12272" width="10.85546875" style="3" customWidth="1"/>
    <col min="12273" max="12274" width="0" style="3" hidden="1" customWidth="1"/>
    <col min="12275" max="12275" width="2" style="3" customWidth="1"/>
    <col min="12276" max="12286" width="10.85546875" style="3"/>
    <col min="12287" max="12287" width="0" style="3" hidden="1" customWidth="1"/>
    <col min="12288" max="12288" width="19" style="3" customWidth="1"/>
    <col min="12289" max="12289" width="8" style="3" customWidth="1"/>
    <col min="12290" max="12290" width="95.140625" style="3" customWidth="1"/>
    <col min="12291" max="12291" width="12" style="3" customWidth="1"/>
    <col min="12292" max="12292" width="16.7109375" style="3" customWidth="1"/>
    <col min="12293" max="12294" width="26" style="3" customWidth="1"/>
    <col min="12295" max="12295" width="0" style="3" hidden="1" customWidth="1"/>
    <col min="12296" max="12524" width="10.85546875" style="3" customWidth="1"/>
    <col min="12525" max="12525" width="9.5703125" style="3" customWidth="1"/>
    <col min="12526" max="12526" width="9.140625" style="3" customWidth="1"/>
    <col min="12527" max="12527" width="11.28515625" style="3" customWidth="1"/>
    <col min="12528" max="12528" width="10.85546875" style="3" customWidth="1"/>
    <col min="12529" max="12530" width="0" style="3" hidden="1" customWidth="1"/>
    <col min="12531" max="12531" width="2" style="3" customWidth="1"/>
    <col min="12532" max="12542" width="10.85546875" style="3"/>
    <col min="12543" max="12543" width="0" style="3" hidden="1" customWidth="1"/>
    <col min="12544" max="12544" width="19" style="3" customWidth="1"/>
    <col min="12545" max="12545" width="8" style="3" customWidth="1"/>
    <col min="12546" max="12546" width="95.140625" style="3" customWidth="1"/>
    <col min="12547" max="12547" width="12" style="3" customWidth="1"/>
    <col min="12548" max="12548" width="16.7109375" style="3" customWidth="1"/>
    <col min="12549" max="12550" width="26" style="3" customWidth="1"/>
    <col min="12551" max="12551" width="0" style="3" hidden="1" customWidth="1"/>
    <col min="12552" max="12780" width="10.85546875" style="3" customWidth="1"/>
    <col min="12781" max="12781" width="9.5703125" style="3" customWidth="1"/>
    <col min="12782" max="12782" width="9.140625" style="3" customWidth="1"/>
    <col min="12783" max="12783" width="11.28515625" style="3" customWidth="1"/>
    <col min="12784" max="12784" width="10.85546875" style="3" customWidth="1"/>
    <col min="12785" max="12786" width="0" style="3" hidden="1" customWidth="1"/>
    <col min="12787" max="12787" width="2" style="3" customWidth="1"/>
    <col min="12788" max="12798" width="10.85546875" style="3"/>
    <col min="12799" max="12799" width="0" style="3" hidden="1" customWidth="1"/>
    <col min="12800" max="12800" width="19" style="3" customWidth="1"/>
    <col min="12801" max="12801" width="8" style="3" customWidth="1"/>
    <col min="12802" max="12802" width="95.140625" style="3" customWidth="1"/>
    <col min="12803" max="12803" width="12" style="3" customWidth="1"/>
    <col min="12804" max="12804" width="16.7109375" style="3" customWidth="1"/>
    <col min="12805" max="12806" width="26" style="3" customWidth="1"/>
    <col min="12807" max="12807" width="0" style="3" hidden="1" customWidth="1"/>
    <col min="12808" max="13036" width="10.85546875" style="3" customWidth="1"/>
    <col min="13037" max="13037" width="9.5703125" style="3" customWidth="1"/>
    <col min="13038" max="13038" width="9.140625" style="3" customWidth="1"/>
    <col min="13039" max="13039" width="11.28515625" style="3" customWidth="1"/>
    <col min="13040" max="13040" width="10.85546875" style="3" customWidth="1"/>
    <col min="13041" max="13042" width="0" style="3" hidden="1" customWidth="1"/>
    <col min="13043" max="13043" width="2" style="3" customWidth="1"/>
    <col min="13044" max="13054" width="10.85546875" style="3"/>
    <col min="13055" max="13055" width="0" style="3" hidden="1" customWidth="1"/>
    <col min="13056" max="13056" width="19" style="3" customWidth="1"/>
    <col min="13057" max="13057" width="8" style="3" customWidth="1"/>
    <col min="13058" max="13058" width="95.140625" style="3" customWidth="1"/>
    <col min="13059" max="13059" width="12" style="3" customWidth="1"/>
    <col min="13060" max="13060" width="16.7109375" style="3" customWidth="1"/>
    <col min="13061" max="13062" width="26" style="3" customWidth="1"/>
    <col min="13063" max="13063" width="0" style="3" hidden="1" customWidth="1"/>
    <col min="13064" max="13292" width="10.85546875" style="3" customWidth="1"/>
    <col min="13293" max="13293" width="9.5703125" style="3" customWidth="1"/>
    <col min="13294" max="13294" width="9.140625" style="3" customWidth="1"/>
    <col min="13295" max="13295" width="11.28515625" style="3" customWidth="1"/>
    <col min="13296" max="13296" width="10.85546875" style="3" customWidth="1"/>
    <col min="13297" max="13298" width="0" style="3" hidden="1" customWidth="1"/>
    <col min="13299" max="13299" width="2" style="3" customWidth="1"/>
    <col min="13300" max="13310" width="10.85546875" style="3"/>
    <col min="13311" max="13311" width="0" style="3" hidden="1" customWidth="1"/>
    <col min="13312" max="13312" width="19" style="3" customWidth="1"/>
    <col min="13313" max="13313" width="8" style="3" customWidth="1"/>
    <col min="13314" max="13314" width="95.140625" style="3" customWidth="1"/>
    <col min="13315" max="13315" width="12" style="3" customWidth="1"/>
    <col min="13316" max="13316" width="16.7109375" style="3" customWidth="1"/>
    <col min="13317" max="13318" width="26" style="3" customWidth="1"/>
    <col min="13319" max="13319" width="0" style="3" hidden="1" customWidth="1"/>
    <col min="13320" max="13548" width="10.85546875" style="3" customWidth="1"/>
    <col min="13549" max="13549" width="9.5703125" style="3" customWidth="1"/>
    <col min="13550" max="13550" width="9.140625" style="3" customWidth="1"/>
    <col min="13551" max="13551" width="11.28515625" style="3" customWidth="1"/>
    <col min="13552" max="13552" width="10.85546875" style="3" customWidth="1"/>
    <col min="13553" max="13554" width="0" style="3" hidden="1" customWidth="1"/>
    <col min="13555" max="13555" width="2" style="3" customWidth="1"/>
    <col min="13556" max="13566" width="10.85546875" style="3"/>
    <col min="13567" max="13567" width="0" style="3" hidden="1" customWidth="1"/>
    <col min="13568" max="13568" width="19" style="3" customWidth="1"/>
    <col min="13569" max="13569" width="8" style="3" customWidth="1"/>
    <col min="13570" max="13570" width="95.140625" style="3" customWidth="1"/>
    <col min="13571" max="13571" width="12" style="3" customWidth="1"/>
    <col min="13572" max="13572" width="16.7109375" style="3" customWidth="1"/>
    <col min="13573" max="13574" width="26" style="3" customWidth="1"/>
    <col min="13575" max="13575" width="0" style="3" hidden="1" customWidth="1"/>
    <col min="13576" max="13804" width="10.85546875" style="3" customWidth="1"/>
    <col min="13805" max="13805" width="9.5703125" style="3" customWidth="1"/>
    <col min="13806" max="13806" width="9.140625" style="3" customWidth="1"/>
    <col min="13807" max="13807" width="11.28515625" style="3" customWidth="1"/>
    <col min="13808" max="13808" width="10.85546875" style="3" customWidth="1"/>
    <col min="13809" max="13810" width="0" style="3" hidden="1" customWidth="1"/>
    <col min="13811" max="13811" width="2" style="3" customWidth="1"/>
    <col min="13812" max="13822" width="10.85546875" style="3"/>
    <col min="13823" max="13823" width="0" style="3" hidden="1" customWidth="1"/>
    <col min="13824" max="13824" width="19" style="3" customWidth="1"/>
    <col min="13825" max="13825" width="8" style="3" customWidth="1"/>
    <col min="13826" max="13826" width="95.140625" style="3" customWidth="1"/>
    <col min="13827" max="13827" width="12" style="3" customWidth="1"/>
    <col min="13828" max="13828" width="16.7109375" style="3" customWidth="1"/>
    <col min="13829" max="13830" width="26" style="3" customWidth="1"/>
    <col min="13831" max="13831" width="0" style="3" hidden="1" customWidth="1"/>
    <col min="13832" max="14060" width="10.85546875" style="3" customWidth="1"/>
    <col min="14061" max="14061" width="9.5703125" style="3" customWidth="1"/>
    <col min="14062" max="14062" width="9.140625" style="3" customWidth="1"/>
    <col min="14063" max="14063" width="11.28515625" style="3" customWidth="1"/>
    <col min="14064" max="14064" width="10.85546875" style="3" customWidth="1"/>
    <col min="14065" max="14066" width="0" style="3" hidden="1" customWidth="1"/>
    <col min="14067" max="14067" width="2" style="3" customWidth="1"/>
    <col min="14068" max="14078" width="10.85546875" style="3"/>
    <col min="14079" max="14079" width="0" style="3" hidden="1" customWidth="1"/>
    <col min="14080" max="14080" width="19" style="3" customWidth="1"/>
    <col min="14081" max="14081" width="8" style="3" customWidth="1"/>
    <col min="14082" max="14082" width="95.140625" style="3" customWidth="1"/>
    <col min="14083" max="14083" width="12" style="3" customWidth="1"/>
    <col min="14084" max="14084" width="16.7109375" style="3" customWidth="1"/>
    <col min="14085" max="14086" width="26" style="3" customWidth="1"/>
    <col min="14087" max="14087" width="0" style="3" hidden="1" customWidth="1"/>
    <col min="14088" max="14316" width="10.85546875" style="3" customWidth="1"/>
    <col min="14317" max="14317" width="9.5703125" style="3" customWidth="1"/>
    <col min="14318" max="14318" width="9.140625" style="3" customWidth="1"/>
    <col min="14319" max="14319" width="11.28515625" style="3" customWidth="1"/>
    <col min="14320" max="14320" width="10.85546875" style="3" customWidth="1"/>
    <col min="14321" max="14322" width="0" style="3" hidden="1" customWidth="1"/>
    <col min="14323" max="14323" width="2" style="3" customWidth="1"/>
    <col min="14324" max="14334" width="10.85546875" style="3"/>
    <col min="14335" max="14335" width="0" style="3" hidden="1" customWidth="1"/>
    <col min="14336" max="14336" width="19" style="3" customWidth="1"/>
    <col min="14337" max="14337" width="8" style="3" customWidth="1"/>
    <col min="14338" max="14338" width="95.140625" style="3" customWidth="1"/>
    <col min="14339" max="14339" width="12" style="3" customWidth="1"/>
    <col min="14340" max="14340" width="16.7109375" style="3" customWidth="1"/>
    <col min="14341" max="14342" width="26" style="3" customWidth="1"/>
    <col min="14343" max="14343" width="0" style="3" hidden="1" customWidth="1"/>
    <col min="14344" max="14572" width="10.85546875" style="3" customWidth="1"/>
    <col min="14573" max="14573" width="9.5703125" style="3" customWidth="1"/>
    <col min="14574" max="14574" width="9.140625" style="3" customWidth="1"/>
    <col min="14575" max="14575" width="11.28515625" style="3" customWidth="1"/>
    <col min="14576" max="14576" width="10.85546875" style="3" customWidth="1"/>
    <col min="14577" max="14578" width="0" style="3" hidden="1" customWidth="1"/>
    <col min="14579" max="14579" width="2" style="3" customWidth="1"/>
    <col min="14580" max="14590" width="10.85546875" style="3"/>
    <col min="14591" max="14591" width="0" style="3" hidden="1" customWidth="1"/>
    <col min="14592" max="14592" width="19" style="3" customWidth="1"/>
    <col min="14593" max="14593" width="8" style="3" customWidth="1"/>
    <col min="14594" max="14594" width="95.140625" style="3" customWidth="1"/>
    <col min="14595" max="14595" width="12" style="3" customWidth="1"/>
    <col min="14596" max="14596" width="16.7109375" style="3" customWidth="1"/>
    <col min="14597" max="14598" width="26" style="3" customWidth="1"/>
    <col min="14599" max="14599" width="0" style="3" hidden="1" customWidth="1"/>
    <col min="14600" max="14828" width="10.85546875" style="3" customWidth="1"/>
    <col min="14829" max="14829" width="9.5703125" style="3" customWidth="1"/>
    <col min="14830" max="14830" width="9.140625" style="3" customWidth="1"/>
    <col min="14831" max="14831" width="11.28515625" style="3" customWidth="1"/>
    <col min="14832" max="14832" width="10.85546875" style="3" customWidth="1"/>
    <col min="14833" max="14834" width="0" style="3" hidden="1" customWidth="1"/>
    <col min="14835" max="14835" width="2" style="3" customWidth="1"/>
    <col min="14836" max="14846" width="10.85546875" style="3"/>
    <col min="14847" max="14847" width="0" style="3" hidden="1" customWidth="1"/>
    <col min="14848" max="14848" width="19" style="3" customWidth="1"/>
    <col min="14849" max="14849" width="8" style="3" customWidth="1"/>
    <col min="14850" max="14850" width="95.140625" style="3" customWidth="1"/>
    <col min="14851" max="14851" width="12" style="3" customWidth="1"/>
    <col min="14852" max="14852" width="16.7109375" style="3" customWidth="1"/>
    <col min="14853" max="14854" width="26" style="3" customWidth="1"/>
    <col min="14855" max="14855" width="0" style="3" hidden="1" customWidth="1"/>
    <col min="14856" max="15084" width="10.85546875" style="3" customWidth="1"/>
    <col min="15085" max="15085" width="9.5703125" style="3" customWidth="1"/>
    <col min="15086" max="15086" width="9.140625" style="3" customWidth="1"/>
    <col min="15087" max="15087" width="11.28515625" style="3" customWidth="1"/>
    <col min="15088" max="15088" width="10.85546875" style="3" customWidth="1"/>
    <col min="15089" max="15090" width="0" style="3" hidden="1" customWidth="1"/>
    <col min="15091" max="15091" width="2" style="3" customWidth="1"/>
    <col min="15092" max="15102" width="10.85546875" style="3"/>
    <col min="15103" max="15103" width="0" style="3" hidden="1" customWidth="1"/>
    <col min="15104" max="15104" width="19" style="3" customWidth="1"/>
    <col min="15105" max="15105" width="8" style="3" customWidth="1"/>
    <col min="15106" max="15106" width="95.140625" style="3" customWidth="1"/>
    <col min="15107" max="15107" width="12" style="3" customWidth="1"/>
    <col min="15108" max="15108" width="16.7109375" style="3" customWidth="1"/>
    <col min="15109" max="15110" width="26" style="3" customWidth="1"/>
    <col min="15111" max="15111" width="0" style="3" hidden="1" customWidth="1"/>
    <col min="15112" max="15340" width="10.85546875" style="3" customWidth="1"/>
    <col min="15341" max="15341" width="9.5703125" style="3" customWidth="1"/>
    <col min="15342" max="15342" width="9.140625" style="3" customWidth="1"/>
    <col min="15343" max="15343" width="11.28515625" style="3" customWidth="1"/>
    <col min="15344" max="15344" width="10.85546875" style="3" customWidth="1"/>
    <col min="15345" max="15346" width="0" style="3" hidden="1" customWidth="1"/>
    <col min="15347" max="15347" width="2" style="3" customWidth="1"/>
    <col min="15348" max="15358" width="10.85546875" style="3"/>
    <col min="15359" max="15359" width="0" style="3" hidden="1" customWidth="1"/>
    <col min="15360" max="15360" width="19" style="3" customWidth="1"/>
    <col min="15361" max="15361" width="8" style="3" customWidth="1"/>
    <col min="15362" max="15362" width="95.140625" style="3" customWidth="1"/>
    <col min="15363" max="15363" width="12" style="3" customWidth="1"/>
    <col min="15364" max="15364" width="16.7109375" style="3" customWidth="1"/>
    <col min="15365" max="15366" width="26" style="3" customWidth="1"/>
    <col min="15367" max="15367" width="0" style="3" hidden="1" customWidth="1"/>
    <col min="15368" max="15596" width="10.85546875" style="3" customWidth="1"/>
    <col min="15597" max="15597" width="9.5703125" style="3" customWidth="1"/>
    <col min="15598" max="15598" width="9.140625" style="3" customWidth="1"/>
    <col min="15599" max="15599" width="11.28515625" style="3" customWidth="1"/>
    <col min="15600" max="15600" width="10.85546875" style="3" customWidth="1"/>
    <col min="15601" max="15602" width="0" style="3" hidden="1" customWidth="1"/>
    <col min="15603" max="15603" width="2" style="3" customWidth="1"/>
    <col min="15604" max="15614" width="10.85546875" style="3"/>
    <col min="15615" max="15615" width="0" style="3" hidden="1" customWidth="1"/>
    <col min="15616" max="15616" width="19" style="3" customWidth="1"/>
    <col min="15617" max="15617" width="8" style="3" customWidth="1"/>
    <col min="15618" max="15618" width="95.140625" style="3" customWidth="1"/>
    <col min="15619" max="15619" width="12" style="3" customWidth="1"/>
    <col min="15620" max="15620" width="16.7109375" style="3" customWidth="1"/>
    <col min="15621" max="15622" width="26" style="3" customWidth="1"/>
    <col min="15623" max="15623" width="0" style="3" hidden="1" customWidth="1"/>
    <col min="15624" max="15852" width="10.85546875" style="3" customWidth="1"/>
    <col min="15853" max="15853" width="9.5703125" style="3" customWidth="1"/>
    <col min="15854" max="15854" width="9.140625" style="3" customWidth="1"/>
    <col min="15855" max="15855" width="11.28515625" style="3" customWidth="1"/>
    <col min="15856" max="15856" width="10.85546875" style="3" customWidth="1"/>
    <col min="15857" max="15858" width="0" style="3" hidden="1" customWidth="1"/>
    <col min="15859" max="15859" width="2" style="3" customWidth="1"/>
    <col min="15860" max="15870" width="10.85546875" style="3"/>
    <col min="15871" max="15871" width="0" style="3" hidden="1" customWidth="1"/>
    <col min="15872" max="15872" width="19" style="3" customWidth="1"/>
    <col min="15873" max="15873" width="8" style="3" customWidth="1"/>
    <col min="15874" max="15874" width="95.140625" style="3" customWidth="1"/>
    <col min="15875" max="15875" width="12" style="3" customWidth="1"/>
    <col min="15876" max="15876" width="16.7109375" style="3" customWidth="1"/>
    <col min="15877" max="15878" width="26" style="3" customWidth="1"/>
    <col min="15879" max="15879" width="0" style="3" hidden="1" customWidth="1"/>
    <col min="15880" max="16108" width="10.85546875" style="3" customWidth="1"/>
    <col min="16109" max="16109" width="9.5703125" style="3" customWidth="1"/>
    <col min="16110" max="16110" width="9.140625" style="3" customWidth="1"/>
    <col min="16111" max="16111" width="11.28515625" style="3" customWidth="1"/>
    <col min="16112" max="16112" width="10.85546875" style="3" customWidth="1"/>
    <col min="16113" max="16114" width="0" style="3" hidden="1" customWidth="1"/>
    <col min="16115" max="16115" width="2" style="3" customWidth="1"/>
    <col min="16116" max="16126" width="10.85546875" style="3"/>
    <col min="16127" max="16127" width="0" style="3" hidden="1" customWidth="1"/>
    <col min="16128" max="16128" width="19" style="3" customWidth="1"/>
    <col min="16129" max="16129" width="8" style="3" customWidth="1"/>
    <col min="16130" max="16130" width="95.140625" style="3" customWidth="1"/>
    <col min="16131" max="16131" width="12" style="3" customWidth="1"/>
    <col min="16132" max="16132" width="16.7109375" style="3" customWidth="1"/>
    <col min="16133" max="16134" width="26" style="3" customWidth="1"/>
    <col min="16135" max="16135" width="0" style="3" hidden="1" customWidth="1"/>
    <col min="16136" max="16364" width="10.85546875" style="3" customWidth="1"/>
    <col min="16365" max="16365" width="9.5703125" style="3" customWidth="1"/>
    <col min="16366" max="16366" width="9.140625" style="3" customWidth="1"/>
    <col min="16367" max="16367" width="11.28515625" style="3" customWidth="1"/>
    <col min="16368" max="16368" width="10.85546875" style="3" customWidth="1"/>
    <col min="16369" max="16370" width="0" style="3" hidden="1" customWidth="1"/>
    <col min="16371" max="16371" width="2" style="3" customWidth="1"/>
    <col min="16372" max="16384" width="10.85546875" style="3"/>
  </cols>
  <sheetData>
    <row r="1" spans="1:16" ht="26.25" x14ac:dyDescent="0.25">
      <c r="A1" s="438" t="s">
        <v>272</v>
      </c>
      <c r="B1" s="6"/>
      <c r="C1" s="10"/>
      <c r="D1" s="4"/>
      <c r="E1" s="4"/>
      <c r="F1" s="4"/>
    </row>
    <row r="2" spans="1:16" ht="15" customHeight="1" thickBot="1" x14ac:dyDescent="0.3">
      <c r="A2" s="10"/>
      <c r="B2" s="6"/>
      <c r="C2" s="10"/>
    </row>
    <row r="3" spans="1:16" ht="28.5" x14ac:dyDescent="0.25">
      <c r="A3" s="596" t="s">
        <v>0</v>
      </c>
      <c r="B3" s="606" t="s">
        <v>130</v>
      </c>
      <c r="C3" s="609" t="s">
        <v>26</v>
      </c>
      <c r="D3" s="604" t="s">
        <v>243</v>
      </c>
      <c r="E3" s="604"/>
      <c r="F3" s="604"/>
      <c r="G3" s="604"/>
      <c r="H3" s="604"/>
      <c r="I3" s="604"/>
      <c r="J3" s="604"/>
      <c r="K3" s="604"/>
      <c r="L3" s="604"/>
      <c r="M3" s="605"/>
    </row>
    <row r="4" spans="1:16" ht="26.25" customHeight="1" x14ac:dyDescent="0.25">
      <c r="A4" s="597"/>
      <c r="B4" s="607"/>
      <c r="C4" s="610"/>
      <c r="D4" s="599" t="s">
        <v>19</v>
      </c>
      <c r="E4" s="600"/>
      <c r="F4" s="601"/>
      <c r="G4" s="33"/>
      <c r="H4" s="415"/>
      <c r="I4" s="415"/>
      <c r="J4" s="201"/>
      <c r="K4" s="602" t="s">
        <v>208</v>
      </c>
      <c r="L4" s="602"/>
      <c r="M4" s="603"/>
      <c r="N4" s="33"/>
    </row>
    <row r="5" spans="1:16" ht="97.5" customHeight="1" thickBot="1" x14ac:dyDescent="0.3">
      <c r="A5" s="598"/>
      <c r="B5" s="608"/>
      <c r="C5" s="611"/>
      <c r="D5" s="429" t="s">
        <v>200</v>
      </c>
      <c r="E5" s="430" t="s">
        <v>201</v>
      </c>
      <c r="F5" s="170" t="s">
        <v>185</v>
      </c>
      <c r="G5" s="34"/>
      <c r="H5" s="415"/>
      <c r="I5" s="415"/>
      <c r="J5" s="202"/>
      <c r="K5" s="431" t="s">
        <v>200</v>
      </c>
      <c r="L5" s="432" t="s">
        <v>201</v>
      </c>
      <c r="M5" s="171" t="s">
        <v>185</v>
      </c>
      <c r="N5" s="34"/>
    </row>
    <row r="6" spans="1:16" ht="39" hidden="1" customHeight="1" thickBot="1" x14ac:dyDescent="0.3">
      <c r="A6" s="143" t="s">
        <v>4</v>
      </c>
      <c r="B6" s="144" t="s">
        <v>1</v>
      </c>
      <c r="C6" s="52" t="s">
        <v>5</v>
      </c>
      <c r="D6" s="71" t="s">
        <v>2</v>
      </c>
      <c r="E6" s="72" t="s">
        <v>3</v>
      </c>
      <c r="F6" s="73" t="s">
        <v>145</v>
      </c>
      <c r="G6" s="35" t="s">
        <v>159</v>
      </c>
      <c r="H6" s="22" t="s">
        <v>137</v>
      </c>
      <c r="I6" s="32" t="s">
        <v>158</v>
      </c>
      <c r="J6" s="439"/>
      <c r="K6" s="180" t="s">
        <v>2</v>
      </c>
      <c r="L6" s="72" t="s">
        <v>3</v>
      </c>
      <c r="M6" s="73" t="s">
        <v>145</v>
      </c>
      <c r="N6" s="35" t="s">
        <v>159</v>
      </c>
      <c r="O6" s="22" t="s">
        <v>137</v>
      </c>
      <c r="P6" s="32" t="s">
        <v>158</v>
      </c>
    </row>
    <row r="7" spans="1:16" s="4" customFormat="1" ht="18.75" x14ac:dyDescent="0.25">
      <c r="A7" s="145" t="s">
        <v>302</v>
      </c>
      <c r="B7" s="146"/>
      <c r="C7" s="53"/>
      <c r="D7" s="74"/>
      <c r="E7" s="75"/>
      <c r="F7" s="76"/>
      <c r="G7" s="6" t="s">
        <v>169</v>
      </c>
      <c r="H7" s="49" t="s">
        <v>199</v>
      </c>
      <c r="I7" s="51" t="e">
        <f>Tableau79569396144277[[#This Row],[Colonne4]]*Tableau79569396144277[[#This Row],[Agnelles32]]</f>
        <v>#VALUE!</v>
      </c>
      <c r="J7" s="167"/>
      <c r="K7" s="181"/>
      <c r="L7" s="75"/>
      <c r="M7" s="76"/>
      <c r="N7" s="6" t="s">
        <v>169</v>
      </c>
      <c r="O7" s="49" t="s">
        <v>199</v>
      </c>
      <c r="P7" s="51" t="e">
        <f>Tableau79569396144277[[#This Row],[Colonne4]]*Tableau79569396144277[[#This Row],[Agnelles32]]</f>
        <v>#VALUE!</v>
      </c>
    </row>
    <row r="8" spans="1:16" x14ac:dyDescent="0.25">
      <c r="A8" s="253"/>
      <c r="B8" s="147" t="s">
        <v>299</v>
      </c>
      <c r="C8" s="54" t="s">
        <v>118</v>
      </c>
      <c r="D8" s="77">
        <f>ROUND(('DONNÉES À ENTRER'!B5*'DONNÉES À ENTRER'!B6)*50%-'DONNÉES À ENTRER'!J56-'DONNÉES À ENTRER'!J60-'DONNÉES À ENTRER'!J64,0)</f>
        <v>15</v>
      </c>
      <c r="E8" s="78">
        <f>ROUND(('DONNÉES À ENTRER'!B5*'DONNÉES À ENTRER'!B6)*50%-'DONNÉES À ENTRER'!J58-'DONNÉES À ENTRER'!J62-'DONNÉES À ENTRER'!J66,0)</f>
        <v>79</v>
      </c>
      <c r="F8" s="79">
        <f>ROUND(+'DONNÉES À ENTRER'!J56+'DONNÉES À ENTRER'!J58+'DONNÉES À ENTRER'!J60+'DONNÉES À ENTRER'!J62+'DONNÉES À ENTRER'!J64+'DONNÉES À ENTRER'!J66,0)</f>
        <v>172</v>
      </c>
      <c r="G8" s="36"/>
      <c r="H8" s="49"/>
      <c r="I8" s="50">
        <f>Tableau79569396144277[[#This Row],[Colonne4]]*Tableau79569396144277[[#This Row],[Agnelles32]]</f>
        <v>0</v>
      </c>
      <c r="J8" s="168"/>
      <c r="K8" s="502">
        <f>ROUND(('DONNÉES À ENTRER'!D5*'DONNÉES À ENTRER'!D6)*50%-'DONNÉES À ENTRER'!L56-'DONNÉES À ENTRER'!L60-'DONNÉES À ENTRER'!L64,0)</f>
        <v>15</v>
      </c>
      <c r="L8" s="78">
        <f>ROUND(('DONNÉES À ENTRER'!D5*'DONNÉES À ENTRER'!D6)*50%-'DONNÉES À ENTRER'!L58-'DONNÉES À ENTRER'!L62-'DONNÉES À ENTRER'!L66,0)</f>
        <v>79</v>
      </c>
      <c r="M8" s="79">
        <f>ROUND(+'DONNÉES À ENTRER'!L56+'DONNÉES À ENTRER'!L58+'DONNÉES À ENTRER'!L60+'DONNÉES À ENTRER'!L62+'DONNÉES À ENTRER'!L64+'DONNÉES À ENTRER'!L66,0)</f>
        <v>172</v>
      </c>
      <c r="N8" s="36"/>
      <c r="O8" s="11"/>
      <c r="P8" s="30">
        <f>Tableau79569396144277[[#This Row],[Colonne4]]*Tableau79569396144277[[#This Row],[Agnelles32]]</f>
        <v>0</v>
      </c>
    </row>
    <row r="9" spans="1:16" x14ac:dyDescent="0.25">
      <c r="A9" s="416"/>
      <c r="B9" s="147" t="s">
        <v>206</v>
      </c>
      <c r="C9" s="55" t="s">
        <v>20</v>
      </c>
      <c r="D9" s="80">
        <f>(D8/('DONNÉES À ENTRER'!B5*'DONNÉES À ENTRER'!B6*0.5))</f>
        <v>0.11278195488721804</v>
      </c>
      <c r="E9" s="81">
        <f>+E8/('DONNÉES À ENTRER'!B5*'DONNÉES À ENTRER'!B6*0.5)</f>
        <v>0.59398496240601506</v>
      </c>
      <c r="F9" s="82"/>
      <c r="G9" s="36"/>
      <c r="H9" s="50"/>
      <c r="I9" s="50">
        <f>Tableau79569396144277[[#This Row],[Colonne4]]*Tableau79569396144277[[#This Row],[Agnelles32]]</f>
        <v>0</v>
      </c>
      <c r="J9" s="168"/>
      <c r="K9" s="182">
        <f>(K8/('DONNÉES À ENTRER'!D5*'DONNÉES À ENTRER'!D6*0.5))</f>
        <v>0.11278195488721804</v>
      </c>
      <c r="L9" s="81">
        <f>+L8/('DONNÉES À ENTRER'!D5*'DONNÉES À ENTRER'!D6*0.5)</f>
        <v>0.59398496240601506</v>
      </c>
      <c r="M9" s="82"/>
      <c r="N9" s="36"/>
      <c r="O9" s="30"/>
      <c r="P9" s="30">
        <f>Tableau79569396144277[[#This Row],[Colonne4]]*Tableau79569396144277[[#This Row],[Agnelles32]]</f>
        <v>0</v>
      </c>
    </row>
    <row r="10" spans="1:16" s="2" customFormat="1" x14ac:dyDescent="0.25">
      <c r="A10" s="152"/>
      <c r="B10" s="148"/>
      <c r="C10" s="57"/>
      <c r="D10" s="83"/>
      <c r="E10" s="84"/>
      <c r="F10" s="85"/>
      <c r="G10" s="26"/>
      <c r="H10" s="7"/>
      <c r="I10" s="417">
        <f>Tableau79569396144277[[#This Row],[Colonne4]]*Tableau79569396144277[[#This Row],[Agnelles32]]</f>
        <v>0</v>
      </c>
      <c r="J10" s="167"/>
      <c r="K10" s="183"/>
      <c r="L10" s="84"/>
      <c r="M10" s="85"/>
      <c r="N10" s="26"/>
      <c r="O10" s="7"/>
      <c r="P10" s="48">
        <f>Tableau79569396144277[[#This Row],[Colonne4]]*Tableau79569396144277[[#This Row],[Agnelles32]]</f>
        <v>0</v>
      </c>
    </row>
    <row r="11" spans="1:16" s="4" customFormat="1" ht="21" x14ac:dyDescent="0.25">
      <c r="A11" s="145" t="s">
        <v>92</v>
      </c>
      <c r="B11" s="146"/>
      <c r="C11" s="53"/>
      <c r="D11" s="74"/>
      <c r="E11" s="75"/>
      <c r="F11" s="76"/>
      <c r="G11" s="6"/>
      <c r="H11" s="49"/>
      <c r="I11" s="51"/>
      <c r="J11" s="167"/>
      <c r="K11" s="181"/>
      <c r="L11" s="75"/>
      <c r="M11" s="76"/>
      <c r="N11" s="6"/>
      <c r="O11" s="49"/>
      <c r="P11" s="51"/>
    </row>
    <row r="12" spans="1:16" x14ac:dyDescent="0.25">
      <c r="A12" s="253"/>
      <c r="B12" s="149" t="s">
        <v>212</v>
      </c>
      <c r="C12" s="58" t="s">
        <v>118</v>
      </c>
      <c r="D12" s="86">
        <f>D8</f>
        <v>15</v>
      </c>
      <c r="E12" s="87">
        <f>E8</f>
        <v>79</v>
      </c>
      <c r="F12" s="88">
        <f>F8</f>
        <v>172</v>
      </c>
      <c r="G12" s="6"/>
      <c r="H12" s="49"/>
      <c r="I12" s="51">
        <f>Tableau79569396144277[[#This Row],[Colonne4]]*Tableau79569396144277[[#This Row],[Agnelles32]]</f>
        <v>0</v>
      </c>
      <c r="J12" s="167"/>
      <c r="K12" s="503">
        <f>K8</f>
        <v>15</v>
      </c>
      <c r="L12" s="87">
        <f>L8</f>
        <v>79</v>
      </c>
      <c r="M12" s="88">
        <f>M8</f>
        <v>172</v>
      </c>
      <c r="O12" s="21"/>
      <c r="P12" s="48">
        <f>Tableau79569396144277[[#This Row],[Colonne4]]*Tableau79569396144277[[#This Row],[Agnelles32]]</f>
        <v>0</v>
      </c>
    </row>
    <row r="13" spans="1:16" s="2" customFormat="1" x14ac:dyDescent="0.25">
      <c r="A13" s="240" t="s">
        <v>93</v>
      </c>
      <c r="B13" s="231" t="s">
        <v>207</v>
      </c>
      <c r="C13" s="232" t="s">
        <v>6</v>
      </c>
      <c r="D13" s="233">
        <f>'DONNÉES À ENTRER'!B7*'Grille de calculs - PROLIFIQUE'!D8</f>
        <v>3900</v>
      </c>
      <c r="E13" s="234">
        <f>'DONNÉES À ENTRER'!B7*'Grille de calculs - PROLIFIQUE'!E8</f>
        <v>20540</v>
      </c>
      <c r="F13" s="235"/>
      <c r="G13" s="236"/>
      <c r="H13" s="237"/>
      <c r="I13" s="238">
        <f>Tableau79569396144277[[#This Row],[Colonne4]]*Tableau79569396144277[[#This Row],[Agnelles32]]</f>
        <v>0</v>
      </c>
      <c r="J13" s="168"/>
      <c r="K13" s="239">
        <f>'DONNÉES À ENTRER'!D7*'Grille de calculs - PROLIFIQUE'!K8</f>
        <v>3900</v>
      </c>
      <c r="L13" s="234">
        <f>'DONNÉES À ENTRER'!D7*'Grille de calculs - PROLIFIQUE'!L8</f>
        <v>20540</v>
      </c>
      <c r="M13" s="235"/>
      <c r="N13" s="26"/>
      <c r="O13" s="7"/>
      <c r="P13" s="31">
        <f>Tableau79569396144277[[#This Row],[Colonne4]]*Tableau79569396144277[[#This Row],[Agnelles32]]</f>
        <v>0</v>
      </c>
    </row>
    <row r="14" spans="1:16" s="2" customFormat="1" x14ac:dyDescent="0.25">
      <c r="A14" s="152" t="s">
        <v>94</v>
      </c>
      <c r="B14" s="150" t="s">
        <v>131</v>
      </c>
      <c r="C14" s="57"/>
      <c r="D14" s="89"/>
      <c r="E14" s="90"/>
      <c r="F14" s="91"/>
      <c r="G14" s="26"/>
      <c r="H14" s="7"/>
      <c r="I14" s="205">
        <f>Tableau79569396144277[[#This Row],[Colonne4]]*Tableau79569396144277[[#This Row],[Agnelles32]]</f>
        <v>0</v>
      </c>
      <c r="J14" s="168"/>
      <c r="K14" s="184"/>
      <c r="L14" s="90"/>
      <c r="M14" s="91"/>
      <c r="N14" s="26"/>
      <c r="O14" s="7"/>
      <c r="P14" s="31">
        <f>Tableau79569396144277[[#This Row],[Colonne4]]*Tableau79569396144277[[#This Row],[Agnelles32]]</f>
        <v>0</v>
      </c>
    </row>
    <row r="15" spans="1:16" s="2" customFormat="1" x14ac:dyDescent="0.25">
      <c r="A15" s="164"/>
      <c r="B15" s="151" t="s">
        <v>115</v>
      </c>
      <c r="C15" s="57" t="s">
        <v>6</v>
      </c>
      <c r="D15" s="89">
        <f>'DONNÉES À ENTRER'!B17*'Grille de calculs - PROLIFIQUE'!D8</f>
        <v>428.82775119617224</v>
      </c>
      <c r="E15" s="90">
        <f>'DONNÉES À ENTRER'!B17*'Grille de calculs - PROLIFIQUE'!E8</f>
        <v>2258.492822966507</v>
      </c>
      <c r="F15" s="91">
        <f>+'DONNÉES À ENTRER'!B17*('Grille de calculs - PROLIFIQUE'!F8)</f>
        <v>4917.2248803827752</v>
      </c>
      <c r="G15" s="45">
        <f>(((+'DONNÉES À ENTRER'!B5*'DONNÉES À ENTRER'!B6)/2)-D8)/F8</f>
        <v>0.68604651162790697</v>
      </c>
      <c r="H15" s="204">
        <f>1-Tableau79569396144277[[#This Row],[Agnelles32]]</f>
        <v>0.31395348837209303</v>
      </c>
      <c r="I15" s="205">
        <f>Tableau79569396144277[[#This Row],[Colonne4]]*Tableau79569396144277[[#This Row],[Agnelles32]]</f>
        <v>3373.4449760765551</v>
      </c>
      <c r="J15" s="168"/>
      <c r="K15" s="184">
        <f>'DONNÉES À ENTRER'!D17*'Grille de calculs - PROLIFIQUE'!K8</f>
        <v>428.82775119617224</v>
      </c>
      <c r="L15" s="90">
        <f>'DONNÉES À ENTRER'!D17*'Grille de calculs - PROLIFIQUE'!L8</f>
        <v>2258.492822966507</v>
      </c>
      <c r="M15" s="91">
        <f>+'DONNÉES À ENTRER'!D17*('Grille de calculs - PROLIFIQUE'!M8)</f>
        <v>4917.2248803827752</v>
      </c>
      <c r="N15" s="45">
        <f>(((+'DONNÉES À ENTRER'!D5*'DONNÉES À ENTRER'!D6)/2)-K8)/M8</f>
        <v>0.68604651162790697</v>
      </c>
      <c r="O15" s="507">
        <f>1-N15</f>
        <v>0.31395348837209303</v>
      </c>
      <c r="P15" s="31">
        <f>M15*N15</f>
        <v>3373.4449760765551</v>
      </c>
    </row>
    <row r="16" spans="1:16" x14ac:dyDescent="0.25">
      <c r="A16" s="240"/>
      <c r="B16" s="241" t="s">
        <v>116</v>
      </c>
      <c r="C16" s="242" t="s">
        <v>6</v>
      </c>
      <c r="D16" s="243">
        <f>'DONNÉES À ENTRER'!B18*'Grille de calculs - PROLIFIQUE'!D8</f>
        <v>67.612781954887211</v>
      </c>
      <c r="E16" s="234">
        <f>'DONNÉES À ENTRER'!B18*'Grille de calculs - PROLIFIQUE'!E8</f>
        <v>356.09398496240601</v>
      </c>
      <c r="F16" s="235">
        <f>(+'DONNÉES À ENTRER'!B18*'Grille de calculs - PROLIFIQUE'!F8)</f>
        <v>775.29323308270671</v>
      </c>
      <c r="G16" s="244">
        <f>+(((+'DONNÉES À ENTRER'!B5*'DONNÉES À ENTRER'!B6)/2)-D8)/F8</f>
        <v>0.68604651162790697</v>
      </c>
      <c r="H16" s="245">
        <f>1-Tableau79569396144277[[#This Row],[Agnelles32]]</f>
        <v>0.31395348837209303</v>
      </c>
      <c r="I16" s="246">
        <f>Tableau79569396144277[[#This Row],[Colonne4]]*Tableau79569396144277[[#This Row],[Agnelles32]]</f>
        <v>531.88721804511272</v>
      </c>
      <c r="J16" s="168"/>
      <c r="K16" s="247">
        <f>'DONNÉES À ENTRER'!D18*'Grille de calculs - PROLIFIQUE'!K8</f>
        <v>67.612781954887211</v>
      </c>
      <c r="L16" s="234">
        <f>'DONNÉES À ENTRER'!D18*'Grille de calculs - PROLIFIQUE'!L8</f>
        <v>356.09398496240601</v>
      </c>
      <c r="M16" s="235">
        <f>(+'DONNÉES À ENTRER'!D18*'Grille de calculs - PROLIFIQUE'!M8)</f>
        <v>775.29323308270671</v>
      </c>
      <c r="N16" s="45">
        <f>+(((+'DONNÉES À ENTRER'!D5*'DONNÉES À ENTRER'!D6)/2)-K8)/M8</f>
        <v>0.68604651162790697</v>
      </c>
      <c r="O16" s="507">
        <f>1-N16</f>
        <v>0.31395348837209303</v>
      </c>
      <c r="P16" s="31">
        <f t="shared" ref="P16:P20" si="0">M16*N16</f>
        <v>531.88721804511272</v>
      </c>
    </row>
    <row r="17" spans="1:16" x14ac:dyDescent="0.25">
      <c r="A17" s="152" t="s">
        <v>95</v>
      </c>
      <c r="B17" s="154" t="s">
        <v>17</v>
      </c>
      <c r="C17" s="59"/>
      <c r="D17" s="89"/>
      <c r="E17" s="90"/>
      <c r="F17" s="91"/>
      <c r="G17" s="26"/>
      <c r="H17" s="50"/>
      <c r="I17" s="50">
        <f>Tableau79569396144277[[#This Row],[Colonne4]]*Tableau79569396144277[[#This Row],[Agnelles32]]</f>
        <v>0</v>
      </c>
      <c r="J17" s="168"/>
      <c r="K17" s="184"/>
      <c r="L17" s="90"/>
      <c r="M17" s="91"/>
      <c r="N17" s="26"/>
      <c r="O17" s="31"/>
      <c r="P17" s="31">
        <f t="shared" si="0"/>
        <v>0</v>
      </c>
    </row>
    <row r="18" spans="1:16" x14ac:dyDescent="0.25">
      <c r="A18" s="155"/>
      <c r="B18" s="156" t="s">
        <v>72</v>
      </c>
      <c r="C18" s="59" t="s">
        <v>6</v>
      </c>
      <c r="D18" s="89">
        <f>'DONNÉES À ENTRER'!B20*'Grille de calculs - PROLIFIQUE'!$D$8*'DONNÉES À ENTRER'!B31/60</f>
        <v>5.0075187969924819</v>
      </c>
      <c r="E18" s="90">
        <f>'DONNÉES À ENTRER'!B20*'Grille de calculs - PROLIFIQUE'!$E$8*'DONNÉES À ENTRER'!B31/60</f>
        <v>26.372932330827073</v>
      </c>
      <c r="F18" s="91">
        <f>+'DONNÉES À ENTRER'!B20*'Grille de calculs - PROLIFIQUE'!$F$8*'DONNÉES À ENTRER'!B31/60</f>
        <v>57.419548872180464</v>
      </c>
      <c r="G18" s="45">
        <f>+(((+'DONNÉES À ENTRER'!B5*'DONNÉES À ENTRER'!B6)/2)-D8)/F8</f>
        <v>0.68604651162790697</v>
      </c>
      <c r="H18" s="204">
        <f>1-Tableau79569396144277[[#This Row],[Agnelles32]]</f>
        <v>0.31395348837209303</v>
      </c>
      <c r="I18" s="50">
        <f>Tableau79569396144277[[#This Row],[Colonne4]]*Tableau79569396144277[[#This Row],[Agnelles32]]</f>
        <v>39.392481203007527</v>
      </c>
      <c r="J18" s="168"/>
      <c r="K18" s="184">
        <f>'DONNÉES À ENTRER'!D20*'Grille de calculs - PROLIFIQUE'!$K$8*'DONNÉES À ENTRER'!D31/60</f>
        <v>5.0075187969924819</v>
      </c>
      <c r="L18" s="90">
        <f>'DONNÉES À ENTRER'!D20*'Grille de calculs - PROLIFIQUE'!$L$8*'DONNÉES À ENTRER'!D31/60</f>
        <v>26.372932330827073</v>
      </c>
      <c r="M18" s="91">
        <f>+'DONNÉES À ENTRER'!D20*'Grille de calculs - PROLIFIQUE'!$M$8*'DONNÉES À ENTRER'!D31/60</f>
        <v>57.419548872180464</v>
      </c>
      <c r="N18" s="45">
        <f>+(((+'DONNÉES À ENTRER'!D5*'DONNÉES À ENTRER'!D6)/2)-K8)/M8</f>
        <v>0.68604651162790697</v>
      </c>
      <c r="O18" s="507">
        <f>1-N18</f>
        <v>0.31395348837209303</v>
      </c>
      <c r="P18" s="31">
        <f t="shared" si="0"/>
        <v>39.392481203007527</v>
      </c>
    </row>
    <row r="19" spans="1:16" x14ac:dyDescent="0.25">
      <c r="A19" s="157"/>
      <c r="B19" s="151" t="s">
        <v>117</v>
      </c>
      <c r="C19" s="59" t="s">
        <v>6</v>
      </c>
      <c r="D19" s="89">
        <f>'DONNÉES À ENTRER'!B21*'Grille de calculs - PROLIFIQUE'!$D$8*'DONNÉES À ENTRER'!B31/60</f>
        <v>17.760000000000002</v>
      </c>
      <c r="E19" s="90">
        <f>'DONNÉES À ENTRER'!B21*'Grille de calculs - PROLIFIQUE'!$E$8*'DONNÉES À ENTRER'!B31/60</f>
        <v>93.536000000000016</v>
      </c>
      <c r="F19" s="91">
        <f>+'DONNÉES À ENTRER'!B21*'Grille de calculs - PROLIFIQUE'!$F$8*'DONNÉES À ENTRER'!B31/60</f>
        <v>203.64800000000002</v>
      </c>
      <c r="G19" s="45">
        <f>+(((+'DONNÉES À ENTRER'!B5*'DONNÉES À ENTRER'!B6)/2)-D8)/F8</f>
        <v>0.68604651162790697</v>
      </c>
      <c r="H19" s="204">
        <f>1-Tableau79569396144277[[#This Row],[Agnelles32]]</f>
        <v>0.31395348837209303</v>
      </c>
      <c r="I19" s="50">
        <f>Tableau79569396144277[[#This Row],[Colonne4]]*Tableau79569396144277[[#This Row],[Agnelles32]]</f>
        <v>139.71200000000002</v>
      </c>
      <c r="J19" s="168"/>
      <c r="K19" s="184">
        <f>'DONNÉES À ENTRER'!D21*'Grille de calculs - PROLIFIQUE'!$K$8*'DONNÉES À ENTRER'!D31/60</f>
        <v>17.760000000000002</v>
      </c>
      <c r="L19" s="90">
        <f>'DONNÉES À ENTRER'!D21*'Grille de calculs - PROLIFIQUE'!$L$8*'DONNÉES À ENTRER'!D31/60</f>
        <v>93.536000000000016</v>
      </c>
      <c r="M19" s="91">
        <f>+'DONNÉES À ENTRER'!D21*'Grille de calculs - PROLIFIQUE'!$M$8*'DONNÉES À ENTRER'!D31/60</f>
        <v>203.64800000000002</v>
      </c>
      <c r="N19" s="45">
        <f>+(((+'DONNÉES À ENTRER'!D5*'DONNÉES À ENTRER'!D6)/2)-K8)/M8</f>
        <v>0.68604651162790697</v>
      </c>
      <c r="O19" s="507">
        <f>1-N19</f>
        <v>0.31395348837209303</v>
      </c>
      <c r="P19" s="31">
        <f t="shared" si="0"/>
        <v>139.71200000000002</v>
      </c>
    </row>
    <row r="20" spans="1:16" ht="17.25" x14ac:dyDescent="0.25">
      <c r="A20" s="157"/>
      <c r="B20" s="151" t="s">
        <v>120</v>
      </c>
      <c r="C20" s="59" t="s">
        <v>6</v>
      </c>
      <c r="D20" s="89">
        <f>'DONNÉES À ENTRER'!B22*'Grille de calculs - PROLIFIQUE'!$D$8*'DONNÉES À ENTRER'!B31/60</f>
        <v>66.600000000000009</v>
      </c>
      <c r="E20" s="90">
        <f>'DONNÉES À ENTRER'!B22*'Grille de calculs - PROLIFIQUE'!$E$8*'DONNÉES À ENTRER'!B31/60</f>
        <v>350.76000000000005</v>
      </c>
      <c r="F20" s="91">
        <f>+'DONNÉES À ENTRER'!B22*'Grille de calculs - PROLIFIQUE'!$F$8*'DONNÉES À ENTRER'!B31/60</f>
        <v>763.68000000000006</v>
      </c>
      <c r="G20" s="45">
        <f>+(((+'DONNÉES À ENTRER'!B5*'DONNÉES À ENTRER'!B6)/2)-D8)/F8</f>
        <v>0.68604651162790697</v>
      </c>
      <c r="H20" s="204">
        <f>1-Tableau79569396144277[[#This Row],[Agnelles32]]</f>
        <v>0.31395348837209303</v>
      </c>
      <c r="I20" s="50">
        <f>Tableau79569396144277[[#This Row],[Colonne4]]*Tableau79569396144277[[#This Row],[Agnelles32]]</f>
        <v>523.92000000000007</v>
      </c>
      <c r="J20" s="168"/>
      <c r="K20" s="184">
        <f>'DONNÉES À ENTRER'!D22*'Grille de calculs - PROLIFIQUE'!$K$8*'DONNÉES À ENTRER'!D31/60</f>
        <v>66.600000000000009</v>
      </c>
      <c r="L20" s="90">
        <f>'DONNÉES À ENTRER'!D22*'Grille de calculs - PROLIFIQUE'!$L$8*'DONNÉES À ENTRER'!D31/60</f>
        <v>350.76000000000005</v>
      </c>
      <c r="M20" s="91">
        <f>+'DONNÉES À ENTRER'!D22*'Grille de calculs - PROLIFIQUE'!$M$8*'DONNÉES À ENTRER'!D31/60</f>
        <v>763.68000000000006</v>
      </c>
      <c r="N20" s="45">
        <f>+(((+'DONNÉES À ENTRER'!D5*'DONNÉES À ENTRER'!D6)/2)-K8)/M8</f>
        <v>0.68604651162790697</v>
      </c>
      <c r="O20" s="507">
        <f>1-N20</f>
        <v>0.31395348837209303</v>
      </c>
      <c r="P20" s="31">
        <f t="shared" si="0"/>
        <v>523.92000000000007</v>
      </c>
    </row>
    <row r="21" spans="1:16" x14ac:dyDescent="0.25">
      <c r="A21" s="157"/>
      <c r="B21" s="148"/>
      <c r="C21" s="59"/>
      <c r="D21" s="92"/>
      <c r="E21" s="93"/>
      <c r="F21" s="94"/>
      <c r="G21" s="26"/>
      <c r="H21" s="49"/>
      <c r="I21" s="50">
        <f>Tableau79569396144277[[#This Row],[Colonne4]]*Tableau79569396144277[[#This Row],[Agnelles32]]</f>
        <v>0</v>
      </c>
      <c r="J21" s="168"/>
      <c r="K21" s="185"/>
      <c r="L21" s="93"/>
      <c r="M21" s="94"/>
      <c r="N21" s="26"/>
      <c r="O21" s="21"/>
      <c r="P21" s="31">
        <f>Tableau79569396144277[[#This Row],[Colonne4]]*Tableau79569396144277[[#This Row],[Agnelles32]]</f>
        <v>0</v>
      </c>
    </row>
    <row r="22" spans="1:16" x14ac:dyDescent="0.25">
      <c r="A22" s="157"/>
      <c r="B22" s="158" t="s">
        <v>215</v>
      </c>
      <c r="C22" s="60"/>
      <c r="D22" s="95"/>
      <c r="E22" s="96"/>
      <c r="F22" s="97"/>
      <c r="G22" s="26"/>
      <c r="H22" s="49"/>
      <c r="I22" s="50">
        <f>Tableau79569396144277[[#This Row],[Colonne4]]*Tableau79569396144277[[#This Row],[Agnelles32]]</f>
        <v>0</v>
      </c>
      <c r="J22" s="168"/>
      <c r="K22" s="186"/>
      <c r="L22" s="96"/>
      <c r="M22" s="97"/>
      <c r="N22" s="26"/>
      <c r="O22" s="21"/>
      <c r="P22" s="31">
        <f>Tableau79569396144277[[#This Row],[Colonne4]]*Tableau79569396144277[[#This Row],[Agnelles32]]</f>
        <v>0</v>
      </c>
    </row>
    <row r="23" spans="1:16" x14ac:dyDescent="0.25">
      <c r="A23" s="157"/>
      <c r="B23" s="159"/>
      <c r="C23" s="59"/>
      <c r="D23" s="98"/>
      <c r="E23" s="99"/>
      <c r="F23" s="100"/>
      <c r="G23" s="26"/>
      <c r="H23" s="49"/>
      <c r="I23" s="50">
        <f>Tableau79569396144277[[#This Row],[Colonne4]]*Tableau79569396144277[[#This Row],[Agnelles32]]</f>
        <v>0</v>
      </c>
      <c r="J23" s="168"/>
      <c r="K23" s="187"/>
      <c r="L23" s="99"/>
      <c r="M23" s="100"/>
      <c r="N23" s="26"/>
      <c r="O23" s="21"/>
      <c r="P23" s="31">
        <f>Tableau79569396144277[[#This Row],[Colonne4]]*Tableau79569396144277[[#This Row],[Agnelles32]]</f>
        <v>0</v>
      </c>
    </row>
    <row r="24" spans="1:16" x14ac:dyDescent="0.25">
      <c r="A24" s="157" t="s">
        <v>211</v>
      </c>
      <c r="B24" s="150" t="s">
        <v>7</v>
      </c>
      <c r="C24" s="59"/>
      <c r="D24" s="98"/>
      <c r="E24" s="99"/>
      <c r="F24" s="100"/>
      <c r="G24" s="26"/>
      <c r="H24" s="49"/>
      <c r="I24" s="51">
        <f>Tableau79569396144277[[#This Row],[Colonne4]]*Tableau79569396144277[[#This Row],[Agnelles32]]</f>
        <v>0</v>
      </c>
      <c r="J24" s="167"/>
      <c r="K24" s="187"/>
      <c r="L24" s="99"/>
      <c r="M24" s="100"/>
      <c r="N24" s="26"/>
      <c r="O24" s="21"/>
      <c r="P24" s="31"/>
    </row>
    <row r="25" spans="1:16" x14ac:dyDescent="0.25">
      <c r="A25" s="157"/>
      <c r="B25" s="160" t="s">
        <v>213</v>
      </c>
      <c r="C25" s="67" t="s">
        <v>118</v>
      </c>
      <c r="D25" s="137"/>
      <c r="E25" s="138"/>
      <c r="F25" s="139">
        <f>+(IF(ISBLANK('DONNÉES À ENTRER'!J56),('DONNÉES À ENTRER'!B5*'DONNÉES À ENTRER'!B6/2*'DONNÉES À ENTRER'!J57),'DONNÉES À ENTRER'!J56))+(IF(ISBLANK('DONNÉES À ENTRER'!J58),('DONNÉES À ENTRER'!B5*'DONNÉES À ENTRER'!B6/2*'DONNÉES À ENTRER'!J59),'DONNÉES À ENTRER'!J58))</f>
        <v>48</v>
      </c>
      <c r="G25" s="27"/>
      <c r="H25" s="49"/>
      <c r="I25" s="50">
        <f>Tableau79569396144277[[#This Row],[Colonne4]]*Tableau79569396144277[[#This Row],[Agnelles32]]</f>
        <v>0</v>
      </c>
      <c r="J25" s="168"/>
      <c r="K25" s="207"/>
      <c r="L25" s="138"/>
      <c r="M25" s="139">
        <f>+(IF(ISBLANK('DONNÉES À ENTRER'!L56),('DONNÉES À ENTRER'!D5*'DONNÉES À ENTRER'!D6/2*'DONNÉES À ENTRER'!L57),'DONNÉES À ENTRER'!L56))+(IF(ISBLANK('DONNÉES À ENTRER'!L58),('DONNÉES À ENTRER'!D5*'DONNÉES À ENTRER'!D6/2*'DONNÉES À ENTRER'!L59),'DONNÉES À ENTRER'!L58))</f>
        <v>48</v>
      </c>
      <c r="N25" s="27"/>
      <c r="O25" s="21"/>
      <c r="P25" s="31">
        <f>Tableau79569396144277[[#This Row],[Colonne4]]*Tableau79569396144277[[#This Row],[Agnelles32]]</f>
        <v>0</v>
      </c>
    </row>
    <row r="26" spans="1:16" x14ac:dyDescent="0.25">
      <c r="A26" s="157"/>
      <c r="B26" s="161"/>
      <c r="C26" s="61"/>
      <c r="D26" s="101"/>
      <c r="E26" s="93"/>
      <c r="F26" s="94"/>
      <c r="G26" s="26"/>
      <c r="H26" s="49"/>
      <c r="I26" s="50">
        <f>Tableau79569396144277[[#This Row],[Colonne4]]*Tableau79569396144277[[#This Row],[Agnelles32]]</f>
        <v>0</v>
      </c>
      <c r="J26" s="168"/>
      <c r="K26" s="188"/>
      <c r="L26" s="93"/>
      <c r="M26" s="94"/>
      <c r="N26" s="26"/>
      <c r="O26" s="21"/>
      <c r="P26" s="31">
        <f>Tableau79569396144277[[#This Row],[Colonne4]]*Tableau79569396144277[[#This Row],[Agnelles32]]</f>
        <v>0</v>
      </c>
    </row>
    <row r="27" spans="1:16" s="4" customFormat="1" ht="21" x14ac:dyDescent="0.25">
      <c r="A27" s="145" t="s">
        <v>89</v>
      </c>
      <c r="B27" s="146"/>
      <c r="C27" s="62"/>
      <c r="D27" s="102"/>
      <c r="E27" s="103"/>
      <c r="F27" s="104"/>
      <c r="G27" s="38"/>
      <c r="H27" s="49"/>
      <c r="I27" s="50">
        <f>Tableau79569396144277[[#This Row],[Colonne4]]*Tableau79569396144277[[#This Row],[Agnelles32]]</f>
        <v>0</v>
      </c>
      <c r="J27" s="168"/>
      <c r="K27" s="189"/>
      <c r="L27" s="103"/>
      <c r="M27" s="104"/>
      <c r="N27" s="38"/>
      <c r="O27" s="44"/>
      <c r="P27" s="205">
        <f>Tableau79569396144277[[#This Row],[Colonne4]]*Tableau79569396144277[[#This Row],[Agnelles32]]</f>
        <v>0</v>
      </c>
    </row>
    <row r="28" spans="1:16" s="2" customFormat="1" x14ac:dyDescent="0.25">
      <c r="A28" s="253"/>
      <c r="B28" s="149" t="s">
        <v>212</v>
      </c>
      <c r="C28" s="58" t="s">
        <v>118</v>
      </c>
      <c r="D28" s="123">
        <f>+D8</f>
        <v>15</v>
      </c>
      <c r="E28" s="141">
        <f>+E8</f>
        <v>79</v>
      </c>
      <c r="F28" s="142">
        <f>+F8-F25</f>
        <v>124</v>
      </c>
      <c r="G28" s="39"/>
      <c r="H28" s="44"/>
      <c r="I28" s="205">
        <f>Tableau79569396144277[[#This Row],[Colonne4]]*Tableau79569396144277[[#This Row],[Agnelles32]]</f>
        <v>0</v>
      </c>
      <c r="J28" s="168"/>
      <c r="K28" s="206">
        <f>+K8</f>
        <v>15</v>
      </c>
      <c r="L28" s="141">
        <f>+L8</f>
        <v>79</v>
      </c>
      <c r="M28" s="142">
        <f>+M8-M25</f>
        <v>124</v>
      </c>
      <c r="N28" s="39"/>
      <c r="O28" s="21"/>
      <c r="P28" s="31">
        <f>Tableau79569396144277[[#This Row],[Colonne4]]*Tableau79569396144277[[#This Row],[Agnelles32]]</f>
        <v>0</v>
      </c>
    </row>
    <row r="29" spans="1:16" x14ac:dyDescent="0.25">
      <c r="A29" s="157" t="s">
        <v>96</v>
      </c>
      <c r="B29" s="150" t="s">
        <v>160</v>
      </c>
      <c r="C29" s="61"/>
      <c r="D29" s="92"/>
      <c r="E29" s="93"/>
      <c r="F29" s="94"/>
      <c r="G29" s="26"/>
      <c r="H29" s="49"/>
      <c r="I29" s="50">
        <f>Tableau79569396144277[[#This Row],[Colonne4]]*Tableau79569396144277[[#This Row],[Agnelles32]]</f>
        <v>0</v>
      </c>
      <c r="J29" s="168"/>
      <c r="K29" s="185"/>
      <c r="L29" s="93"/>
      <c r="M29" s="94"/>
      <c r="N29" s="26"/>
      <c r="O29" s="21"/>
      <c r="P29" s="31">
        <f>Tableau79569396144277[[#This Row],[Colonne4]]*Tableau79569396144277[[#This Row],[Agnelles32]]</f>
        <v>0</v>
      </c>
    </row>
    <row r="30" spans="1:16" x14ac:dyDescent="0.25">
      <c r="A30" s="157"/>
      <c r="B30" s="162" t="s">
        <v>161</v>
      </c>
      <c r="C30" s="61" t="s">
        <v>6</v>
      </c>
      <c r="D30" s="89">
        <f>'DONNÉES À ENTRER'!B92*'Grille de calculs - PROLIFIQUE'!D28</f>
        <v>355.15204411764705</v>
      </c>
      <c r="E30" s="90"/>
      <c r="F30" s="91"/>
      <c r="G30" s="26"/>
      <c r="H30" s="49"/>
      <c r="I30" s="50">
        <f>Tableau79569396144277[[#This Row],[Colonne4]]*Tableau79569396144277[[#This Row],[Agnelles32]]</f>
        <v>0</v>
      </c>
      <c r="J30" s="168"/>
      <c r="K30" s="184">
        <f>'DONNÉES À ENTRER'!D92*'Grille de calculs - PROLIFIQUE'!K28</f>
        <v>355.15204411764705</v>
      </c>
      <c r="L30" s="90"/>
      <c r="M30" s="91"/>
      <c r="N30" s="26"/>
      <c r="O30" s="21"/>
      <c r="P30" s="31">
        <f>Tableau79569396144277[[#This Row],[Colonne4]]*Tableau79569396144277[[#This Row],[Agnelles32]]</f>
        <v>0</v>
      </c>
    </row>
    <row r="31" spans="1:16" x14ac:dyDescent="0.25">
      <c r="A31" s="248"/>
      <c r="B31" s="249" t="s">
        <v>162</v>
      </c>
      <c r="C31" s="250" t="s">
        <v>6</v>
      </c>
      <c r="D31" s="233"/>
      <c r="E31" s="234">
        <f>'DONNÉES À ENTRER'!B118*'Grille de calculs - PROLIFIQUE'!E28</f>
        <v>1394.420062156863</v>
      </c>
      <c r="F31" s="235"/>
      <c r="G31" s="236"/>
      <c r="H31" s="251"/>
      <c r="I31" s="246">
        <f>Tableau79569396144277[[#This Row],[Colonne4]]*Tableau79569396144277[[#This Row],[Agnelles32]]</f>
        <v>0</v>
      </c>
      <c r="J31" s="168"/>
      <c r="K31" s="239"/>
      <c r="L31" s="234">
        <f>'DONNÉES À ENTRER'!D118*'Grille de calculs - PROLIFIQUE'!L28</f>
        <v>1394.420062156863</v>
      </c>
      <c r="M31" s="235"/>
      <c r="N31" s="26"/>
      <c r="O31" s="21"/>
      <c r="P31" s="31">
        <f>Tableau79569396144277[[#This Row],[Colonne4]]*Tableau79569396144277[[#This Row],[Agnelles32]]</f>
        <v>0</v>
      </c>
    </row>
    <row r="32" spans="1:16" x14ac:dyDescent="0.25">
      <c r="A32" s="157" t="s">
        <v>97</v>
      </c>
      <c r="B32" s="154" t="s">
        <v>17</v>
      </c>
      <c r="C32" s="61"/>
      <c r="D32" s="89"/>
      <c r="E32" s="90"/>
      <c r="F32" s="91"/>
      <c r="G32" s="26"/>
      <c r="H32" s="49"/>
      <c r="I32" s="50">
        <f>Tableau79569396144277[[#This Row],[Colonne4]]*Tableau79569396144277[[#This Row],[Agnelles32]]</f>
        <v>0</v>
      </c>
      <c r="J32" s="168"/>
      <c r="K32" s="184"/>
      <c r="L32" s="90"/>
      <c r="M32" s="91"/>
      <c r="N32" s="26"/>
      <c r="O32" s="21"/>
      <c r="P32" s="31">
        <f>Tableau79569396144277[[#This Row],[Colonne4]]*Tableau79569396144277[[#This Row],[Agnelles32]]</f>
        <v>0</v>
      </c>
    </row>
    <row r="33" spans="1:246" x14ac:dyDescent="0.25">
      <c r="A33" s="157"/>
      <c r="B33" s="151" t="s">
        <v>119</v>
      </c>
      <c r="C33" s="61" t="s">
        <v>6</v>
      </c>
      <c r="D33" s="89">
        <f>'DONNÉES À ENTRER'!B23*'Grille de calculs - PROLIFIQUE'!D28*'DONNÉES À ENTRER'!B31/60</f>
        <v>22.200000000000003</v>
      </c>
      <c r="E33" s="90">
        <f>'DONNÉES À ENTRER'!B23*'Grille de calculs - PROLIFIQUE'!E28*'DONNÉES À ENTRER'!B31/60</f>
        <v>116.92000000000002</v>
      </c>
      <c r="F33" s="91">
        <f>+'DONNÉES À ENTRER'!B23*'Grille de calculs - PROLIFIQUE'!F28*'DONNÉES À ENTRER'!B31/60</f>
        <v>183.52</v>
      </c>
      <c r="G33" s="45">
        <f>+('DONNÉES À ENTRER'!J64+'DONNÉES À ENTRER'!J60)/'Grille de calculs - PROLIFIQUE'!F28</f>
        <v>0.75806451612903225</v>
      </c>
      <c r="H33" s="204">
        <f>1-Tableau79569396144277[[#This Row],[Agnelles32]]</f>
        <v>0.24193548387096775</v>
      </c>
      <c r="I33" s="50">
        <f>Tableau79569396144277[[#This Row],[Colonne4]]*Tableau79569396144277[[#This Row],[Agnelles32]]</f>
        <v>139.12</v>
      </c>
      <c r="J33" s="168"/>
      <c r="K33" s="184">
        <f>'DONNÉES À ENTRER'!D23*'Grille de calculs - PROLIFIQUE'!K28*'DONNÉES À ENTRER'!D31/60</f>
        <v>22.200000000000003</v>
      </c>
      <c r="L33" s="90">
        <f>'DONNÉES À ENTRER'!D23*'Grille de calculs - PROLIFIQUE'!L28*'DONNÉES À ENTRER'!D31/60</f>
        <v>116.92000000000002</v>
      </c>
      <c r="M33" s="91">
        <f>+'DONNÉES À ENTRER'!D23*'Grille de calculs - PROLIFIQUE'!M28*'DONNÉES À ENTRER'!D31/60</f>
        <v>183.52</v>
      </c>
      <c r="N33" s="45">
        <f>+('DONNÉES À ENTRER'!L64+'DONNÉES À ENTRER'!L60)/'Grille de calculs - PROLIFIQUE'!M28</f>
        <v>0.75806451612903225</v>
      </c>
      <c r="O33" s="507">
        <f>1-N33</f>
        <v>0.24193548387096775</v>
      </c>
      <c r="P33" s="31">
        <f>M33*N33</f>
        <v>139.12</v>
      </c>
    </row>
    <row r="34" spans="1:246" x14ac:dyDescent="0.25">
      <c r="A34" s="152"/>
      <c r="B34" s="153" t="s">
        <v>127</v>
      </c>
      <c r="C34" s="61" t="s">
        <v>6</v>
      </c>
      <c r="D34" s="89">
        <f>('DONNÉES À ENTRER'!B27/60*'DONNÉES À ENTRER'!B31)*'Grille de calculs - PROLIFIQUE'!D28*'DONNÉES À ENTRER'!B31/60</f>
        <v>3.9427200000000009</v>
      </c>
      <c r="E34" s="90">
        <f>('DONNÉES À ENTRER'!B27/60*'DONNÉES À ENTRER'!B31)*'Grille de calculs - PROLIFIQUE'!E28*'DONNÉES À ENTRER'!B31/60</f>
        <v>20.764992000000007</v>
      </c>
      <c r="F34" s="91">
        <f>+('DONNÉES À ENTRER'!B27/60*'DONNÉES À ENTRER'!B31)*'Grille de calculs - PROLIFIQUE'!F28*'DONNÉES À ENTRER'!B31/60</f>
        <v>32.593152000000003</v>
      </c>
      <c r="G34" s="45">
        <f>+('DONNÉES À ENTRER'!J64+'DONNÉES À ENTRER'!J60)/'Grille de calculs - PROLIFIQUE'!F28</f>
        <v>0.75806451612903225</v>
      </c>
      <c r="H34" s="204">
        <f>1-Tableau79569396144277[[#This Row],[Agnelles32]]</f>
        <v>0.24193548387096775</v>
      </c>
      <c r="I34" s="50">
        <f>Tableau79569396144277[[#This Row],[Colonne4]]*Tableau79569396144277[[#This Row],[Agnelles32]]</f>
        <v>24.707712000000001</v>
      </c>
      <c r="J34" s="168"/>
      <c r="K34" s="184">
        <f>('DONNÉES À ENTRER'!D27/60*'DONNÉES À ENTRER'!D31)*'Grille de calculs - PROLIFIQUE'!K28*'DONNÉES À ENTRER'!D31/60</f>
        <v>3.9427200000000009</v>
      </c>
      <c r="L34" s="90">
        <f>('DONNÉES À ENTRER'!D27/60*'DONNÉES À ENTRER'!D31)*'Grille de calculs - PROLIFIQUE'!L28*'DONNÉES À ENTRER'!D31/60</f>
        <v>20.764992000000007</v>
      </c>
      <c r="M34" s="91">
        <f>+('DONNÉES À ENTRER'!D27/60*'DONNÉES À ENTRER'!D31)*'Grille de calculs - PROLIFIQUE'!M28*'DONNÉES À ENTRER'!D31/60</f>
        <v>32.593152000000003</v>
      </c>
      <c r="N34" s="45">
        <f>+('DONNÉES À ENTRER'!L64+'DONNÉES À ENTRER'!L60)/'Grille de calculs - PROLIFIQUE'!M28</f>
        <v>0.75806451612903225</v>
      </c>
      <c r="O34" s="507">
        <f>1-N34</f>
        <v>0.24193548387096775</v>
      </c>
      <c r="P34" s="31">
        <f t="shared" ref="P34:P37" si="1">M34*N34</f>
        <v>24.707712000000001</v>
      </c>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row>
    <row r="35" spans="1:246" ht="17.25" x14ac:dyDescent="0.25">
      <c r="A35" s="248"/>
      <c r="B35" s="252" t="s">
        <v>121</v>
      </c>
      <c r="C35" s="250" t="s">
        <v>6</v>
      </c>
      <c r="D35" s="233">
        <f>'DONNÉES À ENTRER'!B24*'Grille de calculs - PROLIFIQUE'!D28*'DONNÉES À ENTRER'!B31/60</f>
        <v>35.520000000000003</v>
      </c>
      <c r="E35" s="234">
        <f>'DONNÉES À ENTRER'!B24*'Grille de calculs - PROLIFIQUE'!E28*'DONNÉES À ENTRER'!B31/60</f>
        <v>187.07200000000003</v>
      </c>
      <c r="F35" s="235">
        <f>+'DONNÉES À ENTRER'!B24*'Grille de calculs - PROLIFIQUE'!F28*'DONNÉES À ENTRER'!B31/60</f>
        <v>293.63200000000001</v>
      </c>
      <c r="G35" s="244">
        <f>+('DONNÉES À ENTRER'!J64+'DONNÉES À ENTRER'!J60)/'Grille de calculs - PROLIFIQUE'!F28</f>
        <v>0.75806451612903225</v>
      </c>
      <c r="H35" s="245">
        <f>1-Tableau79569396144277[[#This Row],[Agnelles32]]</f>
        <v>0.24193548387096775</v>
      </c>
      <c r="I35" s="246">
        <f>Tableau79569396144277[[#This Row],[Colonne4]]*Tableau79569396144277[[#This Row],[Agnelles32]]</f>
        <v>222.59200000000001</v>
      </c>
      <c r="J35" s="168"/>
      <c r="K35" s="239">
        <f>'DONNÉES À ENTRER'!D24*'Grille de calculs - PROLIFIQUE'!K28*'DONNÉES À ENTRER'!D31/60</f>
        <v>35.520000000000003</v>
      </c>
      <c r="L35" s="234">
        <f>'DONNÉES À ENTRER'!D24*'Grille de calculs - PROLIFIQUE'!L28*'DONNÉES À ENTRER'!D31/60</f>
        <v>187.07200000000003</v>
      </c>
      <c r="M35" s="235">
        <f>+'DONNÉES À ENTRER'!D24*'Grille de calculs - PROLIFIQUE'!M28*'DONNÉES À ENTRER'!D31/60</f>
        <v>293.63200000000001</v>
      </c>
      <c r="N35" s="45">
        <f>+('DONNÉES À ENTRER'!L64+'DONNÉES À ENTRER'!L60)/'Grille de calculs - PROLIFIQUE'!M28</f>
        <v>0.75806451612903225</v>
      </c>
      <c r="O35" s="507">
        <f>1-N35</f>
        <v>0.24193548387096775</v>
      </c>
      <c r="P35" s="31">
        <f t="shared" si="1"/>
        <v>222.59200000000001</v>
      </c>
    </row>
    <row r="36" spans="1:246" x14ac:dyDescent="0.25">
      <c r="A36" s="152" t="s">
        <v>110</v>
      </c>
      <c r="B36" s="150" t="s">
        <v>43</v>
      </c>
      <c r="C36" s="61"/>
      <c r="D36" s="89"/>
      <c r="E36" s="90"/>
      <c r="F36" s="91"/>
      <c r="G36" s="45"/>
      <c r="H36" s="49"/>
      <c r="I36" s="50">
        <f>Tableau79569396144277[[#This Row],[Colonne4]]*Tableau79569396144277[[#This Row],[Agnelles32]]</f>
        <v>0</v>
      </c>
      <c r="J36" s="168"/>
      <c r="K36" s="184"/>
      <c r="L36" s="90"/>
      <c r="M36" s="91"/>
      <c r="N36" s="45"/>
      <c r="O36" s="21"/>
      <c r="P36" s="31"/>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row>
    <row r="37" spans="1:246" x14ac:dyDescent="0.25">
      <c r="A37" s="152"/>
      <c r="B37" s="153" t="s">
        <v>127</v>
      </c>
      <c r="C37" s="61" t="s">
        <v>6</v>
      </c>
      <c r="D37" s="89">
        <f>'DONNÉES À ENTRER'!B34*D28</f>
        <v>20.100000000000001</v>
      </c>
      <c r="E37" s="90">
        <f>'DONNÉES À ENTRER'!B34*E28</f>
        <v>105.86</v>
      </c>
      <c r="F37" s="91">
        <f>+'DONNÉES À ENTRER'!B34*F28</f>
        <v>166.16</v>
      </c>
      <c r="G37" s="45">
        <f>+('DONNÉES À ENTRER'!J64+'DONNÉES À ENTRER'!J60)/'Grille de calculs - PROLIFIQUE'!F28</f>
        <v>0.75806451612903225</v>
      </c>
      <c r="H37" s="204">
        <f>1-Tableau79569396144277[[#This Row],[Agnelles32]]</f>
        <v>0.24193548387096775</v>
      </c>
      <c r="I37" s="50">
        <f>Tableau79569396144277[[#This Row],[Colonne4]]*Tableau79569396144277[[#This Row],[Agnelles32]]</f>
        <v>125.96</v>
      </c>
      <c r="J37" s="168"/>
      <c r="K37" s="184">
        <f>'DONNÉES À ENTRER'!D34*K28</f>
        <v>20.100000000000001</v>
      </c>
      <c r="L37" s="90">
        <f>'DONNÉES À ENTRER'!D34*L28</f>
        <v>105.86</v>
      </c>
      <c r="M37" s="91">
        <f>+'DONNÉES À ENTRER'!D34*M28</f>
        <v>166.16</v>
      </c>
      <c r="N37" s="45">
        <f>+('DONNÉES À ENTRER'!L64+'DONNÉES À ENTRER'!L60)/'Grille de calculs - PROLIFIQUE'!M28</f>
        <v>0.75806451612903225</v>
      </c>
      <c r="O37" s="507">
        <f>1-N37</f>
        <v>0.24193548387096775</v>
      </c>
      <c r="P37" s="31">
        <f t="shared" si="1"/>
        <v>125.96</v>
      </c>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row>
    <row r="38" spans="1:246" x14ac:dyDescent="0.25">
      <c r="A38" s="157"/>
      <c r="B38" s="148"/>
      <c r="C38" s="61"/>
      <c r="D38" s="106"/>
      <c r="E38" s="99"/>
      <c r="F38" s="100"/>
      <c r="G38" s="26"/>
      <c r="H38" s="49"/>
      <c r="I38" s="50">
        <f>Tableau79569396144277[[#This Row],[Colonne4]]*Tableau79569396144277[[#This Row],[Agnelles32]]</f>
        <v>0</v>
      </c>
      <c r="J38" s="168"/>
      <c r="K38" s="191"/>
      <c r="L38" s="93"/>
      <c r="M38" s="94"/>
      <c r="N38" s="26"/>
      <c r="O38" s="21"/>
      <c r="P38" s="31">
        <f>Tableau79569396144277[[#This Row],[Colonne4]]*Tableau79569396144277[[#This Row],[Agnelles32]]</f>
        <v>0</v>
      </c>
    </row>
    <row r="39" spans="1:246" x14ac:dyDescent="0.25">
      <c r="A39" s="157"/>
      <c r="B39" s="158" t="s">
        <v>163</v>
      </c>
      <c r="C39" s="64"/>
      <c r="D39" s="107"/>
      <c r="E39" s="108"/>
      <c r="F39" s="109"/>
      <c r="G39" s="37"/>
      <c r="H39" s="49"/>
      <c r="I39" s="50">
        <f>Tableau79569396144277[[#This Row],[Colonne4]]*Tableau79569396144277[[#This Row],[Agnelles32]]</f>
        <v>0</v>
      </c>
      <c r="J39" s="168"/>
      <c r="K39" s="192"/>
      <c r="L39" s="108"/>
      <c r="M39" s="109"/>
      <c r="N39" s="37"/>
      <c r="O39" s="21"/>
      <c r="P39" s="31">
        <f>Tableau79569396144277[[#This Row],[Colonne4]]*Tableau79569396144277[[#This Row],[Agnelles32]]</f>
        <v>0</v>
      </c>
    </row>
    <row r="40" spans="1:246" x14ac:dyDescent="0.25">
      <c r="A40" s="157"/>
      <c r="B40" s="148"/>
      <c r="C40" s="61"/>
      <c r="D40" s="98"/>
      <c r="E40" s="110"/>
      <c r="F40" s="111"/>
      <c r="G40" s="37"/>
      <c r="H40" s="49"/>
      <c r="I40" s="50">
        <f>Tableau79569396144277[[#This Row],[Colonne4]]*Tableau79569396144277[[#This Row],[Agnelles32]]</f>
        <v>0</v>
      </c>
      <c r="J40" s="168"/>
      <c r="K40" s="185"/>
      <c r="L40" s="172"/>
      <c r="M40" s="173"/>
      <c r="N40" s="37"/>
      <c r="O40" s="21"/>
      <c r="P40" s="31">
        <f>Tableau79569396144277[[#This Row],[Colonne4]]*Tableau79569396144277[[#This Row],[Agnelles32]]</f>
        <v>0</v>
      </c>
    </row>
    <row r="41" spans="1:246" x14ac:dyDescent="0.25">
      <c r="A41" s="157" t="s">
        <v>164</v>
      </c>
      <c r="B41" s="150" t="s">
        <v>128</v>
      </c>
      <c r="C41" s="61"/>
      <c r="D41" s="98"/>
      <c r="E41" s="110"/>
      <c r="F41" s="100"/>
      <c r="G41" s="37"/>
      <c r="H41" s="49"/>
      <c r="I41" s="51">
        <f>Tableau79569396144277[[#This Row],[Colonne4]]*Tableau79569396144277[[#This Row],[Agnelles32]]</f>
        <v>0</v>
      </c>
      <c r="J41" s="167"/>
      <c r="K41" s="185"/>
      <c r="L41" s="172"/>
      <c r="M41" s="173"/>
      <c r="N41" s="37"/>
      <c r="O41" s="21"/>
      <c r="P41" s="31"/>
    </row>
    <row r="42" spans="1:246" x14ac:dyDescent="0.25">
      <c r="A42" s="157"/>
      <c r="B42" s="160" t="s">
        <v>136</v>
      </c>
      <c r="C42" s="63" t="s">
        <v>118</v>
      </c>
      <c r="D42" s="140"/>
      <c r="E42" s="138"/>
      <c r="F42" s="139">
        <f>+(IF(ISBLANK('DONNÉES À ENTRER'!J60),('DONNÉES À ENTRER'!B5*'DONNÉES À ENTRER'!B6/2*'DONNÉES À ENTRER'!J61),'DONNÉES À ENTRER'!J60))+(IF(ISBLANK('DONNÉES À ENTRER'!J62),('DONNÉES À ENTRER'!B5*'DONNÉES À ENTRER'!B6/2*'DONNÉES À ENTRER'!J63),'DONNÉES À ENTRER'!J62))</f>
        <v>122</v>
      </c>
      <c r="G42" s="27"/>
      <c r="H42" s="49"/>
      <c r="I42" s="50">
        <f>Tableau79569396144277[[#This Row],[Colonne4]]*Tableau79569396144277[[#This Row],[Agnelles32]]</f>
        <v>0</v>
      </c>
      <c r="J42" s="168"/>
      <c r="K42" s="230"/>
      <c r="L42" s="138"/>
      <c r="M42" s="139">
        <f>+(IF(ISBLANK('DONNÉES À ENTRER'!L60),('DONNÉES À ENTRER'!D5*'DONNÉES À ENTRER'!D6/2*'DONNÉES À ENTRER'!L61),'DONNÉES À ENTRER'!L60))+(IF(ISBLANK('DONNÉES À ENTRER'!L62),('DONNÉES À ENTRER'!D5*'DONNÉES À ENTRER'!D6/2*'DONNÉES À ENTRER'!L63),'DONNÉES À ENTRER'!L62))</f>
        <v>122</v>
      </c>
      <c r="N42" s="27"/>
      <c r="O42" s="21"/>
      <c r="P42" s="31">
        <f>Tableau79569396144277[[#This Row],[Colonne4]]*Tableau79569396144277[[#This Row],[Agnelles32]]</f>
        <v>0</v>
      </c>
    </row>
    <row r="43" spans="1:246" ht="15.75" thickBot="1" x14ac:dyDescent="0.3">
      <c r="A43" s="440"/>
      <c r="B43" s="441"/>
      <c r="C43" s="442"/>
      <c r="D43" s="443"/>
      <c r="E43" s="444"/>
      <c r="F43" s="445"/>
      <c r="G43" s="446"/>
      <c r="H43" s="447"/>
      <c r="I43" s="448">
        <f>Tableau79569396144277[[#This Row],[Colonne4]]*Tableau79569396144277[[#This Row],[Agnelles32]]</f>
        <v>0</v>
      </c>
      <c r="J43" s="449"/>
      <c r="K43" s="450"/>
      <c r="L43" s="444"/>
      <c r="M43" s="445"/>
      <c r="N43" s="26"/>
      <c r="O43" s="21"/>
      <c r="P43" s="31">
        <f>Tableau79569396144277[[#This Row],[Colonne4]]*Tableau79569396144277[[#This Row],[Agnelles32]]</f>
        <v>0</v>
      </c>
    </row>
    <row r="44" spans="1:246" s="4" customFormat="1" ht="21" x14ac:dyDescent="0.25">
      <c r="A44" s="145" t="s">
        <v>90</v>
      </c>
      <c r="B44" s="146"/>
      <c r="C44" s="62"/>
      <c r="D44" s="102"/>
      <c r="E44" s="103"/>
      <c r="F44" s="104"/>
      <c r="G44" s="38"/>
      <c r="H44" s="49"/>
      <c r="I44" s="50">
        <f>Tableau79569396144277[[#This Row],[Colonne4]]*Tableau79569396144277[[#This Row],[Agnelles32]]</f>
        <v>0</v>
      </c>
      <c r="J44" s="168"/>
      <c r="K44" s="189"/>
      <c r="L44" s="103"/>
      <c r="M44" s="104"/>
      <c r="N44" s="38"/>
      <c r="O44" s="44"/>
      <c r="P44" s="205">
        <f>Tableau79569396144277[[#This Row],[Colonne4]]*Tableau79569396144277[[#This Row],[Agnelles32]]</f>
        <v>0</v>
      </c>
    </row>
    <row r="45" spans="1:246" s="2" customFormat="1" x14ac:dyDescent="0.25">
      <c r="A45" s="253"/>
      <c r="B45" s="149" t="s">
        <v>212</v>
      </c>
      <c r="C45" s="58" t="s">
        <v>118</v>
      </c>
      <c r="D45" s="123">
        <f>+D8</f>
        <v>15</v>
      </c>
      <c r="E45" s="78">
        <f>+E8</f>
        <v>79</v>
      </c>
      <c r="F45" s="79">
        <f>+F28-F42</f>
        <v>2</v>
      </c>
      <c r="G45" s="27"/>
      <c r="H45" s="44"/>
      <c r="I45" s="205">
        <f>Tableau79569396144277[[#This Row],[Colonne4]]*Tableau79569396144277[[#This Row],[Agnelles32]]</f>
        <v>0</v>
      </c>
      <c r="J45" s="168"/>
      <c r="K45" s="206">
        <f>+K8</f>
        <v>15</v>
      </c>
      <c r="L45" s="78">
        <f>+L8</f>
        <v>79</v>
      </c>
      <c r="M45" s="79">
        <f>+M28-M42</f>
        <v>2</v>
      </c>
      <c r="N45" s="27"/>
      <c r="O45" s="21"/>
      <c r="P45" s="31">
        <f>Tableau79569396144277[[#This Row],[Colonne4]]*Tableau79569396144277[[#This Row],[Agnelles32]]</f>
        <v>0</v>
      </c>
    </row>
    <row r="46" spans="1:246" s="2" customFormat="1" x14ac:dyDescent="0.25">
      <c r="A46" s="174"/>
      <c r="B46" s="163"/>
      <c r="C46" s="65"/>
      <c r="D46" s="113"/>
      <c r="E46" s="114"/>
      <c r="F46" s="115"/>
      <c r="G46" s="27"/>
      <c r="H46" s="205"/>
      <c r="I46" s="205">
        <f>Tableau79569396144277[[#This Row],[Colonne4]]*Tableau79569396144277[[#This Row],[Agnelles32]]</f>
        <v>0</v>
      </c>
      <c r="J46" s="168"/>
      <c r="K46" s="193"/>
      <c r="L46" s="114"/>
      <c r="M46" s="115"/>
      <c r="N46" s="27"/>
      <c r="O46" s="31"/>
      <c r="P46" s="31">
        <f>Tableau79569396144277[[#This Row],[Colonne4]]*Tableau79569396144277[[#This Row],[Agnelles32]]</f>
        <v>0</v>
      </c>
    </row>
    <row r="47" spans="1:246" s="2" customFormat="1" x14ac:dyDescent="0.25">
      <c r="A47" s="157" t="s">
        <v>98</v>
      </c>
      <c r="B47" s="150" t="s">
        <v>165</v>
      </c>
      <c r="C47" s="65"/>
      <c r="D47" s="113"/>
      <c r="E47" s="114"/>
      <c r="F47" s="115"/>
      <c r="G47" s="27"/>
      <c r="H47" s="205"/>
      <c r="I47" s="205">
        <f>Tableau79569396144277[[#This Row],[Colonne4]]*Tableau79569396144277[[#This Row],[Agnelles32]]</f>
        <v>0</v>
      </c>
      <c r="J47" s="168"/>
      <c r="K47" s="193"/>
      <c r="L47" s="114"/>
      <c r="M47" s="115"/>
      <c r="N47" s="27"/>
      <c r="O47" s="31"/>
      <c r="P47" s="31">
        <f>Tableau79569396144277[[#This Row],[Colonne4]]*Tableau79569396144277[[#This Row],[Agnelles32]]</f>
        <v>0</v>
      </c>
    </row>
    <row r="48" spans="1:246" s="2" customFormat="1" x14ac:dyDescent="0.25">
      <c r="A48" s="152"/>
      <c r="B48" s="162" t="s">
        <v>166</v>
      </c>
      <c r="C48" s="65" t="s">
        <v>6</v>
      </c>
      <c r="D48" s="89">
        <f>+D45*'DONNÉES À ENTRER'!B101</f>
        <v>733.61255294117655</v>
      </c>
      <c r="E48" s="116"/>
      <c r="F48" s="91">
        <f>+'DONNÉES À ENTRER'!J64*'DONNÉES À ENTRER'!B101</f>
        <v>48.90750352941177</v>
      </c>
      <c r="G48" s="46">
        <v>1</v>
      </c>
      <c r="H48" s="204">
        <f>1-Tableau79569396144277[[#This Row],[Agnelles32]]</f>
        <v>0</v>
      </c>
      <c r="I48" s="205">
        <f>Tableau79569396144277[[#This Row],[Colonne4]]*Tableau79569396144277[[#This Row],[Agnelles32]]</f>
        <v>48.90750352941177</v>
      </c>
      <c r="J48" s="168"/>
      <c r="K48" s="184">
        <f>+K45*'DONNÉES À ENTRER'!D101</f>
        <v>733.61255294117655</v>
      </c>
      <c r="L48" s="116"/>
      <c r="M48" s="91">
        <f>+'DONNÉES À ENTRER'!L64*'DONNÉES À ENTRER'!D101</f>
        <v>48.90750352941177</v>
      </c>
      <c r="N48" s="46">
        <v>1</v>
      </c>
      <c r="O48" s="507"/>
      <c r="P48" s="31">
        <f>M48*N48</f>
        <v>48.90750352941177</v>
      </c>
    </row>
    <row r="49" spans="1:246" s="2" customFormat="1" x14ac:dyDescent="0.25">
      <c r="A49" s="240"/>
      <c r="B49" s="249" t="s">
        <v>167</v>
      </c>
      <c r="C49" s="254" t="s">
        <v>6</v>
      </c>
      <c r="D49" s="255"/>
      <c r="E49" s="234">
        <f>+E45*'DONNÉES À ENTRER'!B127</f>
        <v>2552.898321568628</v>
      </c>
      <c r="F49" s="235">
        <f>+'DONNÉES À ENTRER'!J66*'DONNÉES À ENTRER'!B127</f>
        <v>32.315168627450987</v>
      </c>
      <c r="G49" s="256"/>
      <c r="H49" s="245">
        <f>1-Tableau79569396144277[[#This Row],[Agnelles32]]</f>
        <v>1</v>
      </c>
      <c r="I49" s="238">
        <f>Tableau79569396144277[[#This Row],[Colonne4]]*Tableau79569396144277[[#This Row],[Agnelles32]]</f>
        <v>0</v>
      </c>
      <c r="J49" s="168"/>
      <c r="K49" s="257"/>
      <c r="L49" s="234">
        <f>+L45*'DONNÉES À ENTRER'!D127</f>
        <v>2552.898321568628</v>
      </c>
      <c r="M49" s="235">
        <f>+'DONNÉES À ENTRER'!L66*'DONNÉES À ENTRER'!D127</f>
        <v>32.315168627450987</v>
      </c>
      <c r="N49" s="27"/>
      <c r="O49" s="507">
        <f>1-Tableau79569396144277[[#This Row],[Agnelles32]]</f>
        <v>1</v>
      </c>
      <c r="P49" s="31">
        <f>M49*N49</f>
        <v>0</v>
      </c>
    </row>
    <row r="50" spans="1:246" x14ac:dyDescent="0.25">
      <c r="A50" s="152" t="s">
        <v>99</v>
      </c>
      <c r="B50" s="150" t="s">
        <v>114</v>
      </c>
      <c r="C50" s="61"/>
      <c r="D50" s="117"/>
      <c r="E50" s="90"/>
      <c r="F50" s="91"/>
      <c r="G50" s="26"/>
      <c r="H50" s="49"/>
      <c r="I50" s="50">
        <f>Tableau79569396144277[[#This Row],[Colonne4]]*Tableau79569396144277[[#This Row],[Agnelles32]]</f>
        <v>0</v>
      </c>
      <c r="J50" s="168"/>
      <c r="K50" s="229"/>
      <c r="L50" s="90"/>
      <c r="M50" s="91"/>
      <c r="N50" s="26"/>
      <c r="O50" s="21"/>
      <c r="P50" s="31">
        <f>Tableau79569396144277[[#This Row],[Colonne4]]*Tableau79569396144277[[#This Row],[Agnelles32]]</f>
        <v>0</v>
      </c>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8"/>
      <c r="FK50" s="8"/>
      <c r="FL50" s="8"/>
      <c r="FM50" s="8"/>
      <c r="FN50" s="8"/>
      <c r="FO50" s="8"/>
      <c r="FP50" s="8"/>
      <c r="FQ50" s="8"/>
      <c r="FR50" s="8"/>
      <c r="FS50" s="8"/>
      <c r="FT50" s="8"/>
      <c r="FU50" s="8"/>
      <c r="FV50" s="8"/>
      <c r="FW50" s="8"/>
      <c r="FX50" s="8"/>
      <c r="FY50" s="8"/>
      <c r="FZ50" s="8"/>
      <c r="GA50" s="8"/>
      <c r="GB50" s="8"/>
      <c r="GC50" s="8"/>
      <c r="GD50" s="8"/>
      <c r="GE50" s="8"/>
      <c r="GF50" s="8"/>
      <c r="GG50" s="8"/>
      <c r="GH50" s="8"/>
      <c r="GI50" s="8"/>
      <c r="GJ50" s="8"/>
      <c r="GK50" s="8"/>
      <c r="GL50" s="8"/>
      <c r="GM50" s="8"/>
      <c r="GN50" s="8"/>
      <c r="GO50" s="8"/>
      <c r="GP50" s="8"/>
      <c r="GQ50" s="8"/>
      <c r="GR50" s="8"/>
      <c r="GS50" s="8"/>
      <c r="GT50" s="8"/>
      <c r="GU50" s="8"/>
      <c r="GV50" s="8"/>
      <c r="GW50" s="8"/>
      <c r="GX50" s="8"/>
      <c r="GY50" s="8"/>
      <c r="GZ50" s="8"/>
      <c r="HA50" s="8"/>
      <c r="HB50" s="8"/>
      <c r="HC50" s="8"/>
      <c r="HD50" s="8"/>
      <c r="HE50" s="8"/>
      <c r="HF50" s="8"/>
      <c r="HG50" s="8"/>
      <c r="HH50" s="8"/>
      <c r="HI50" s="8"/>
      <c r="HJ50" s="8"/>
      <c r="HK50" s="8"/>
      <c r="HL50" s="8"/>
      <c r="HM50" s="8"/>
      <c r="HN50" s="8"/>
      <c r="HO50" s="8"/>
      <c r="HP50" s="8"/>
      <c r="HQ50" s="8"/>
      <c r="HR50" s="8"/>
      <c r="HS50" s="8"/>
      <c r="HT50" s="8"/>
      <c r="HU50" s="8"/>
      <c r="HV50" s="8"/>
      <c r="HW50" s="8"/>
      <c r="HX50" s="8"/>
      <c r="HY50" s="8"/>
      <c r="HZ50" s="8"/>
      <c r="IA50" s="8"/>
      <c r="IB50" s="8"/>
      <c r="IC50" s="8"/>
      <c r="ID50" s="8"/>
      <c r="IE50" s="8"/>
      <c r="IF50" s="8"/>
      <c r="IG50" s="8"/>
      <c r="IH50" s="8"/>
      <c r="II50" s="8"/>
      <c r="IJ50" s="8"/>
      <c r="IK50" s="8"/>
      <c r="IL50" s="8"/>
    </row>
    <row r="51" spans="1:246" x14ac:dyDescent="0.25">
      <c r="A51" s="240"/>
      <c r="B51" s="258" t="s">
        <v>168</v>
      </c>
      <c r="C51" s="250" t="s">
        <v>6</v>
      </c>
      <c r="D51" s="233">
        <f>'DONNÉES À ENTRER'!B108*'Grille de calculs - PROLIFIQUE'!D45</f>
        <v>747.70775588235301</v>
      </c>
      <c r="E51" s="234"/>
      <c r="F51" s="235">
        <f>+'DONNÉES À ENTRER'!B64*'DONNÉES À ENTRER'!B108</f>
        <v>49.847183725490204</v>
      </c>
      <c r="G51" s="244">
        <v>1</v>
      </c>
      <c r="H51" s="245">
        <f>1-Tableau79569396144277[[#This Row],[Agnelles32]]</f>
        <v>0</v>
      </c>
      <c r="I51" s="246">
        <f>Tableau79569396144277[[#This Row],[Colonne4]]*Tableau79569396144277[[#This Row],[Agnelles32]]</f>
        <v>49.847183725490204</v>
      </c>
      <c r="J51" s="168"/>
      <c r="K51" s="239">
        <f>'DONNÉES À ENTRER'!D108*'Grille de calculs - PROLIFIQUE'!K45</f>
        <v>747.70775588235301</v>
      </c>
      <c r="L51" s="234"/>
      <c r="M51" s="235">
        <f>+'DONNÉES À ENTRER'!D64*'DONNÉES À ENTRER'!D108</f>
        <v>49.847183725490204</v>
      </c>
      <c r="N51" s="45">
        <v>1</v>
      </c>
      <c r="O51" s="507"/>
      <c r="P51" s="31">
        <f>M51*N51</f>
        <v>49.847183725490204</v>
      </c>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8"/>
      <c r="FK51" s="8"/>
      <c r="FL51" s="8"/>
      <c r="FM51" s="8"/>
      <c r="FN51" s="8"/>
      <c r="FO51" s="8"/>
      <c r="FP51" s="8"/>
      <c r="FQ51" s="8"/>
      <c r="FR51" s="8"/>
      <c r="FS51" s="8"/>
      <c r="FT51" s="8"/>
      <c r="FU51" s="8"/>
      <c r="FV51" s="8"/>
      <c r="FW51" s="8"/>
      <c r="FX51" s="8"/>
      <c r="FY51" s="8"/>
      <c r="FZ51" s="8"/>
      <c r="GA51" s="8"/>
      <c r="GB51" s="8"/>
      <c r="GC51" s="8"/>
      <c r="GD51" s="8"/>
      <c r="GE51" s="8"/>
      <c r="GF51" s="8"/>
      <c r="GG51" s="8"/>
      <c r="GH51" s="8"/>
      <c r="GI51" s="8"/>
      <c r="GJ51" s="8"/>
      <c r="GK51" s="8"/>
      <c r="GL51" s="8"/>
      <c r="GM51" s="8"/>
      <c r="GN51" s="8"/>
      <c r="GO51" s="8"/>
      <c r="GP51" s="8"/>
      <c r="GQ51" s="8"/>
      <c r="GR51" s="8"/>
      <c r="GS51" s="8"/>
      <c r="GT51" s="8"/>
      <c r="GU51" s="8"/>
      <c r="GV51" s="8"/>
      <c r="GW51" s="8"/>
      <c r="GX51" s="8"/>
      <c r="GY51" s="8"/>
      <c r="GZ51" s="8"/>
      <c r="HA51" s="8"/>
      <c r="HB51" s="8"/>
      <c r="HC51" s="8"/>
      <c r="HD51" s="8"/>
      <c r="HE51" s="8"/>
      <c r="HF51" s="8"/>
      <c r="HG51" s="8"/>
      <c r="HH51" s="8"/>
      <c r="HI51" s="8"/>
      <c r="HJ51" s="8"/>
      <c r="HK51" s="8"/>
      <c r="HL51" s="8"/>
      <c r="HM51" s="8"/>
      <c r="HN51" s="8"/>
      <c r="HO51" s="8"/>
      <c r="HP51" s="8"/>
      <c r="HQ51" s="8"/>
      <c r="HR51" s="8"/>
      <c r="HS51" s="8"/>
      <c r="HT51" s="8"/>
      <c r="HU51" s="8"/>
      <c r="HV51" s="8"/>
      <c r="HW51" s="8"/>
      <c r="HX51" s="8"/>
      <c r="HY51" s="8"/>
      <c r="HZ51" s="8"/>
      <c r="IA51" s="8"/>
      <c r="IB51" s="8"/>
      <c r="IC51" s="8"/>
      <c r="ID51" s="8"/>
      <c r="IE51" s="8"/>
      <c r="IF51" s="8"/>
      <c r="IG51" s="8"/>
      <c r="IH51" s="8"/>
      <c r="II51" s="8"/>
      <c r="IJ51" s="8"/>
      <c r="IK51" s="8"/>
      <c r="IL51" s="8"/>
    </row>
    <row r="52" spans="1:246" s="2" customFormat="1" x14ac:dyDescent="0.25">
      <c r="A52" s="157" t="s">
        <v>100</v>
      </c>
      <c r="B52" s="150" t="s">
        <v>17</v>
      </c>
      <c r="C52" s="57"/>
      <c r="D52" s="98"/>
      <c r="E52" s="90"/>
      <c r="F52" s="91"/>
      <c r="G52" s="26"/>
      <c r="H52" s="44"/>
      <c r="I52" s="205">
        <f>Tableau79569396144277[[#This Row],[Colonne4]]*Tableau79569396144277[[#This Row],[Agnelles32]]</f>
        <v>0</v>
      </c>
      <c r="J52" s="168"/>
      <c r="K52" s="187"/>
      <c r="L52" s="90"/>
      <c r="M52" s="91"/>
      <c r="N52" s="26"/>
      <c r="O52" s="21"/>
      <c r="P52" s="31">
        <f>Tableau79569396144277[[#This Row],[Colonne4]]*Tableau79569396144277[[#This Row],[Agnelles32]]</f>
        <v>0</v>
      </c>
    </row>
    <row r="53" spans="1:246" s="2" customFormat="1" x14ac:dyDescent="0.25">
      <c r="A53" s="152"/>
      <c r="B53" s="156" t="s">
        <v>122</v>
      </c>
      <c r="C53" s="61" t="s">
        <v>6</v>
      </c>
      <c r="D53" s="89">
        <f>('DONNÉES À ENTRER'!B25/60*'DONNÉES À ENTRER'!B31)*'Grille de calculs - PROLIFIQUE'!D45</f>
        <v>44.4</v>
      </c>
      <c r="E53" s="90">
        <f>('DONNÉES À ENTRER'!B25/60*'DONNÉES À ENTRER'!B31)*'Grille de calculs - PROLIFIQUE'!E45</f>
        <v>233.84</v>
      </c>
      <c r="F53" s="91">
        <f>+('DONNÉES À ENTRER'!B25/60*'DONNÉES À ENTRER'!B31)*'Grille de calculs - PROLIFIQUE'!F45</f>
        <v>5.92</v>
      </c>
      <c r="G53" s="45">
        <f>IF(F45=0,0,+'DONNÉES À ENTRER'!J64/'Grille de calculs - PROLIFIQUE'!F45)</f>
        <v>0.5</v>
      </c>
      <c r="H53" s="204">
        <f>1-Tableau79569396144277[[#This Row],[Agnelles32]]</f>
        <v>0.5</v>
      </c>
      <c r="I53" s="205">
        <f>Tableau79569396144277[[#This Row],[Colonne4]]*Tableau79569396144277[[#This Row],[Agnelles32]]</f>
        <v>2.96</v>
      </c>
      <c r="J53" s="168"/>
      <c r="K53" s="184">
        <f>('DONNÉES À ENTRER'!D25/60*'DONNÉES À ENTRER'!D31)*'Grille de calculs - PROLIFIQUE'!K45</f>
        <v>44.4</v>
      </c>
      <c r="L53" s="90">
        <f>('DONNÉES À ENTRER'!D25/60*'DONNÉES À ENTRER'!D31)*'Grille de calculs - PROLIFIQUE'!L45</f>
        <v>233.84</v>
      </c>
      <c r="M53" s="91">
        <f>+('DONNÉES À ENTRER'!D25/60*'DONNÉES À ENTRER'!D31)*'Grille de calculs - PROLIFIQUE'!M45</f>
        <v>5.92</v>
      </c>
      <c r="N53" s="45">
        <f>IF(M45=0,0,+'DONNÉES À ENTRER'!L64/'Grille de calculs - PROLIFIQUE'!M45)</f>
        <v>0.5</v>
      </c>
      <c r="O53" s="507">
        <f>1-N53</f>
        <v>0.5</v>
      </c>
      <c r="P53" s="31">
        <f>M53*N53</f>
        <v>2.96</v>
      </c>
    </row>
    <row r="54" spans="1:246" s="2" customFormat="1" x14ac:dyDescent="0.25">
      <c r="A54" s="240"/>
      <c r="B54" s="241" t="s">
        <v>73</v>
      </c>
      <c r="C54" s="250"/>
      <c r="D54" s="233">
        <f>('DONNÉES À ENTRER'!B26/60*'DONNÉES À ENTRER'!B31)*'Grille de calculs - PROLIFIQUE'!D45</f>
        <v>26.640000000000004</v>
      </c>
      <c r="E54" s="234">
        <f>('DONNÉES À ENTRER'!B26/60*'DONNÉES À ENTRER'!B31)*'Grille de calculs - PROLIFIQUE'!E45</f>
        <v>140.30400000000003</v>
      </c>
      <c r="F54" s="235">
        <f>+('DONNÉES À ENTRER'!B26/60*'DONNÉES À ENTRER'!B31)*'Grille de calculs - PROLIFIQUE'!F45</f>
        <v>3.5520000000000005</v>
      </c>
      <c r="G54" s="244">
        <f>IF(F45=0,0,+'DONNÉES À ENTRER'!J64/'Grille de calculs - PROLIFIQUE'!F45)</f>
        <v>0.5</v>
      </c>
      <c r="H54" s="245">
        <f>1-Tableau79569396144277[[#This Row],[Agnelles32]]</f>
        <v>0.5</v>
      </c>
      <c r="I54" s="238">
        <f>Tableau79569396144277[[#This Row],[Colonne4]]*Tableau79569396144277[[#This Row],[Agnelles32]]</f>
        <v>1.7760000000000002</v>
      </c>
      <c r="J54" s="168"/>
      <c r="K54" s="239">
        <f>('DONNÉES À ENTRER'!D26/60*'DONNÉES À ENTRER'!D31)*'Grille de calculs - PROLIFIQUE'!K45</f>
        <v>26.640000000000004</v>
      </c>
      <c r="L54" s="234">
        <f>('DONNÉES À ENTRER'!D26/60*'DONNÉES À ENTRER'!D31)*'Grille de calculs - PROLIFIQUE'!L45</f>
        <v>140.30400000000003</v>
      </c>
      <c r="M54" s="235">
        <f>+('DONNÉES À ENTRER'!D26/60*'DONNÉES À ENTRER'!D31)*'Grille de calculs - PROLIFIQUE'!M45</f>
        <v>3.5520000000000005</v>
      </c>
      <c r="N54" s="45">
        <f>IF(M45=0,0,+'DONNÉES À ENTRER'!L64/'Grille de calculs - PROLIFIQUE'!M45)</f>
        <v>0.5</v>
      </c>
      <c r="O54" s="507">
        <f>1-N54</f>
        <v>0.5</v>
      </c>
      <c r="P54" s="31">
        <f t="shared" ref="P54:P77" si="2">M54*N54</f>
        <v>1.7760000000000002</v>
      </c>
    </row>
    <row r="55" spans="1:246" s="2" customFormat="1" x14ac:dyDescent="0.25">
      <c r="A55" s="157" t="s">
        <v>111</v>
      </c>
      <c r="B55" s="150" t="s">
        <v>43</v>
      </c>
      <c r="C55" s="61"/>
      <c r="D55" s="118"/>
      <c r="E55" s="119"/>
      <c r="F55" s="120"/>
      <c r="G55" s="6"/>
      <c r="H55" s="44"/>
      <c r="I55" s="205">
        <f>Tableau79569396144277[[#This Row],[Colonne4]]*Tableau79569396144277[[#This Row],[Agnelles32]]</f>
        <v>0</v>
      </c>
      <c r="J55" s="168"/>
      <c r="K55" s="195"/>
      <c r="L55" s="119"/>
      <c r="M55" s="120"/>
      <c r="N55" s="6"/>
      <c r="O55" s="21"/>
      <c r="P55" s="31">
        <f t="shared" si="2"/>
        <v>0</v>
      </c>
    </row>
    <row r="56" spans="1:246" s="2" customFormat="1" x14ac:dyDescent="0.25">
      <c r="A56" s="622"/>
      <c r="B56" s="156" t="s">
        <v>122</v>
      </c>
      <c r="C56" s="61" t="s">
        <v>6</v>
      </c>
      <c r="D56" s="89">
        <f>'DONNÉES À ENTRER'!B37*'Grille de calculs - PROLIFIQUE'!D45</f>
        <v>0</v>
      </c>
      <c r="E56" s="90">
        <f>'DONNÉES À ENTRER'!B38*'Grille de calculs - PROLIFIQUE'!E45</f>
        <v>0</v>
      </c>
      <c r="F56" s="91">
        <f>'DONNÉES À ENTRER'!B38*'Grille de calculs - PROLIFIQUE'!F45</f>
        <v>0</v>
      </c>
      <c r="G56" s="45">
        <f>IF(F45=0,0,+'DONNÉES À ENTRER'!J64/'Grille de calculs - PROLIFIQUE'!F45)</f>
        <v>0.5</v>
      </c>
      <c r="H56" s="204">
        <f>1-Tableau79569396144277[[#This Row],[Agnelles32]]</f>
        <v>0.5</v>
      </c>
      <c r="I56" s="205">
        <f>Tableau79569396144277[[#This Row],[Colonne4]]*Tableau79569396144277[[#This Row],[Agnelles32]]</f>
        <v>0</v>
      </c>
      <c r="J56" s="168"/>
      <c r="K56" s="184">
        <v>0</v>
      </c>
      <c r="L56" s="90">
        <v>0</v>
      </c>
      <c r="M56" s="91">
        <v>0</v>
      </c>
      <c r="N56" s="6"/>
      <c r="O56" s="21"/>
      <c r="P56" s="31"/>
    </row>
    <row r="57" spans="1:246" s="2" customFormat="1" x14ac:dyDescent="0.25">
      <c r="A57" s="157"/>
      <c r="B57" s="151" t="s">
        <v>73</v>
      </c>
      <c r="C57" s="61" t="s">
        <v>6</v>
      </c>
      <c r="D57" s="89">
        <f>'DONNÉES À ENTRER'!B33*'Grille de calculs - PROLIFIQUE'!D45</f>
        <v>695.1</v>
      </c>
      <c r="E57" s="90">
        <f>'DONNÉES À ENTRER'!B33*'Grille de calculs - PROLIFIQUE'!E45</f>
        <v>3660.86</v>
      </c>
      <c r="F57" s="91">
        <f>+'DONNÉES À ENTRER'!B33*'Grille de calculs - PROLIFIQUE'!F45</f>
        <v>92.68</v>
      </c>
      <c r="G57" s="45">
        <f>IF(F45=0,0,+'DONNÉES À ENTRER'!J64/'Grille de calculs - PROLIFIQUE'!F45)</f>
        <v>0.5</v>
      </c>
      <c r="H57" s="204">
        <f>1-Tableau79569396144277[[#This Row],[Agnelles32]]</f>
        <v>0.5</v>
      </c>
      <c r="I57" s="205">
        <f>Tableau79569396144277[[#This Row],[Colonne4]]*Tableau79569396144277[[#This Row],[Agnelles32]]</f>
        <v>46.34</v>
      </c>
      <c r="J57" s="168"/>
      <c r="K57" s="184">
        <f>'DONNÉES À ENTRER'!D33*'Grille de calculs - PROLIFIQUE'!K45</f>
        <v>695.1</v>
      </c>
      <c r="L57" s="90">
        <f>'DONNÉES À ENTRER'!D33*'Grille de calculs - PROLIFIQUE'!L45</f>
        <v>3660.86</v>
      </c>
      <c r="M57" s="91">
        <f>+'DONNÉES À ENTRER'!D33*'Grille de calculs - PROLIFIQUE'!M45</f>
        <v>92.68</v>
      </c>
      <c r="N57" s="45">
        <f>IF(M45=0,0,+'DONNÉES À ENTRER'!L64/'Grille de calculs - PROLIFIQUE'!M45)</f>
        <v>0.5</v>
      </c>
      <c r="O57" s="507">
        <f>1-N57</f>
        <v>0.5</v>
      </c>
      <c r="P57" s="31">
        <f t="shared" si="2"/>
        <v>46.34</v>
      </c>
    </row>
    <row r="58" spans="1:246" s="2" customFormat="1" x14ac:dyDescent="0.25">
      <c r="A58" s="157"/>
      <c r="B58" s="148"/>
      <c r="C58" s="61"/>
      <c r="D58" s="92"/>
      <c r="E58" s="84"/>
      <c r="F58" s="85"/>
      <c r="G58" s="26"/>
      <c r="H58" s="44"/>
      <c r="I58" s="205">
        <f>Tableau79569396144277[[#This Row],[Colonne4]]*Tableau79569396144277[[#This Row],[Agnelles32]]</f>
        <v>0</v>
      </c>
      <c r="J58" s="168"/>
      <c r="K58" s="185"/>
      <c r="L58" s="84"/>
      <c r="M58" s="85"/>
      <c r="N58" s="26"/>
      <c r="O58" s="21"/>
      <c r="P58" s="31">
        <f t="shared" si="2"/>
        <v>0</v>
      </c>
    </row>
    <row r="59" spans="1:246" s="2" customFormat="1" x14ac:dyDescent="0.25">
      <c r="A59" s="157"/>
      <c r="B59" s="158" t="s">
        <v>214</v>
      </c>
      <c r="C59" s="64"/>
      <c r="D59" s="121"/>
      <c r="E59" s="96"/>
      <c r="F59" s="97"/>
      <c r="G59" s="26"/>
      <c r="H59" s="44"/>
      <c r="I59" s="205">
        <f>Tableau79569396144277[[#This Row],[Colonne4]]*Tableau79569396144277[[#This Row],[Agnelles32]]</f>
        <v>0</v>
      </c>
      <c r="J59" s="168"/>
      <c r="K59" s="196"/>
      <c r="L59" s="96"/>
      <c r="M59" s="97"/>
      <c r="N59" s="26"/>
      <c r="O59" s="21"/>
      <c r="P59" s="31">
        <f t="shared" si="2"/>
        <v>0</v>
      </c>
    </row>
    <row r="60" spans="1:246" s="2" customFormat="1" x14ac:dyDescent="0.25">
      <c r="A60" s="157"/>
      <c r="B60" s="148"/>
      <c r="C60" s="61"/>
      <c r="D60" s="122"/>
      <c r="E60" s="84"/>
      <c r="F60" s="85"/>
      <c r="G60" s="40"/>
      <c r="H60" s="44"/>
      <c r="I60" s="205">
        <f>Tableau79569396144277[[#This Row],[Colonne4]]*Tableau79569396144277[[#This Row],[Agnelles32]]</f>
        <v>0</v>
      </c>
      <c r="J60" s="168"/>
      <c r="K60" s="194"/>
      <c r="L60" s="84"/>
      <c r="M60" s="85"/>
      <c r="N60" s="40"/>
      <c r="O60" s="21"/>
      <c r="P60" s="31">
        <f t="shared" si="2"/>
        <v>0</v>
      </c>
    </row>
    <row r="61" spans="1:246" s="2" customFormat="1" x14ac:dyDescent="0.25">
      <c r="A61" s="164" t="s">
        <v>220</v>
      </c>
      <c r="B61" s="150" t="s">
        <v>7</v>
      </c>
      <c r="C61" s="61"/>
      <c r="D61" s="122"/>
      <c r="E61" s="84"/>
      <c r="F61" s="85"/>
      <c r="G61" s="40"/>
      <c r="H61" s="44"/>
      <c r="I61" s="417">
        <f>Tableau79569396144277[[#This Row],[Colonne4]]*Tableau79569396144277[[#This Row],[Agnelles32]]</f>
        <v>0</v>
      </c>
      <c r="J61" s="167"/>
      <c r="K61" s="194"/>
      <c r="L61" s="84"/>
      <c r="M61" s="85"/>
      <c r="N61" s="40"/>
      <c r="O61" s="21"/>
      <c r="P61" s="31">
        <f t="shared" si="2"/>
        <v>0</v>
      </c>
    </row>
    <row r="62" spans="1:246" s="2" customFormat="1" x14ac:dyDescent="0.25">
      <c r="A62" s="164"/>
      <c r="B62" s="160" t="s">
        <v>216</v>
      </c>
      <c r="C62" s="63" t="s">
        <v>118</v>
      </c>
      <c r="D62" s="105"/>
      <c r="E62" s="112"/>
      <c r="F62" s="139">
        <f>IF(ISBLANK('DONNÉES À ENTRER'!J64),('DONNÉES À ENTRER'!B5*'DONNÉES À ENTRER'!B6/2*'DONNÉES À ENTRER'!J65),'DONNÉES À ENTRER'!J64)+(IF(ISBLANK('DONNÉES À ENTRER'!J66),('DONNÉES À ENTRER'!B5*'DONNÉES À ENTRER'!B6/2*'DONNÉES À ENTRER'!J67),'DONNÉES À ENTRER'!J66))</f>
        <v>2</v>
      </c>
      <c r="G62" s="45">
        <f>IF(F45=0,0,+'DONNÉES À ENTRER'!J64/'Grille de calculs - PROLIFIQUE'!F45)</f>
        <v>0.5</v>
      </c>
      <c r="H62" s="204">
        <f>1-Tableau79569396144277[[#This Row],[Agnelles32]]</f>
        <v>0.5</v>
      </c>
      <c r="I62" s="205">
        <f>Tableau79569396144277[[#This Row],[Colonne4]]*Tableau79569396144277[[#This Row],[Agnelles32]]</f>
        <v>1</v>
      </c>
      <c r="J62" s="168"/>
      <c r="K62" s="190"/>
      <c r="L62" s="112"/>
      <c r="M62" s="139">
        <f>IF(ISBLANK('DONNÉES À ENTRER'!L64),('DONNÉES À ENTRER'!D5*'DONNÉES À ENTRER'!D6/2*'DONNÉES À ENTRER'!L65),'DONNÉES À ENTRER'!L64)+(IF(ISBLANK('DONNÉES À ENTRER'!L66),('DONNÉES À ENTRER'!D5*'DONNÉES À ENTRER'!D6/2*'DONNÉES À ENTRER'!L67),'DONNÉES À ENTRER'!L66))</f>
        <v>2</v>
      </c>
      <c r="N62" s="27"/>
      <c r="O62" s="21"/>
      <c r="P62" s="31">
        <f t="shared" si="2"/>
        <v>0</v>
      </c>
    </row>
    <row r="63" spans="1:246" s="2" customFormat="1" x14ac:dyDescent="0.25">
      <c r="A63" s="157"/>
      <c r="B63" s="151" t="s">
        <v>183</v>
      </c>
      <c r="C63" s="61" t="s">
        <v>6</v>
      </c>
      <c r="D63" s="124"/>
      <c r="E63" s="125"/>
      <c r="F63" s="126">
        <f>('DONNÉES À ENTRER'!J64*'DONNÉES À ENTRER'!B138)+('DONNÉES À ENTRER'!J66*'DONNÉES À ENTRER'!B139)</f>
        <v>122.25206000000001</v>
      </c>
      <c r="G63" s="45">
        <f>IF(F45=0,0,+'DONNÉES À ENTRER'!J64/'Grille de calculs - PROLIFIQUE'!F45)</f>
        <v>0.5</v>
      </c>
      <c r="H63" s="204">
        <f>1-Tableau79569396144277[[#This Row],[Agnelles32]]</f>
        <v>0.5</v>
      </c>
      <c r="I63" s="205">
        <f>Tableau79569396144277[[#This Row],[Colonne4]]*Tableau79569396144277[[#This Row],[Agnelles32]]</f>
        <v>61.126030000000007</v>
      </c>
      <c r="J63" s="168"/>
      <c r="K63" s="197"/>
      <c r="L63" s="125"/>
      <c r="M63" s="126">
        <f>('DONNÉES À ENTRER'!L64*'DONNÉES À ENTRER'!D138)+('DONNÉES À ENTRER'!L66*'DONNÉES À ENTRER'!D139)</f>
        <v>122.25206000000001</v>
      </c>
      <c r="N63" s="45">
        <f>IF(M45=0,0,+'DONNÉES À ENTRER'!L64/'Grille de calculs - PROLIFIQUE'!M45)</f>
        <v>0.5</v>
      </c>
      <c r="O63" s="507">
        <f>1-N63</f>
        <v>0.5</v>
      </c>
      <c r="P63" s="31">
        <f t="shared" si="2"/>
        <v>61.126030000000007</v>
      </c>
    </row>
    <row r="64" spans="1:246" s="2" customFormat="1" ht="9.75" customHeight="1" x14ac:dyDescent="0.25">
      <c r="A64" s="157"/>
      <c r="B64" s="148"/>
      <c r="C64" s="57"/>
      <c r="D64" s="92"/>
      <c r="E64" s="84"/>
      <c r="F64" s="85"/>
      <c r="G64" s="26"/>
      <c r="H64" s="44"/>
      <c r="I64" s="205">
        <f>Tableau79569396144277[[#This Row],[Colonne4]]*Tableau79569396144277[[#This Row],[Agnelles32]]</f>
        <v>0</v>
      </c>
      <c r="J64" s="168"/>
      <c r="K64" s="185"/>
      <c r="L64" s="84"/>
      <c r="M64" s="85"/>
      <c r="N64" s="26"/>
      <c r="O64" s="21"/>
      <c r="P64" s="31">
        <f t="shared" si="2"/>
        <v>0</v>
      </c>
    </row>
    <row r="65" spans="1:246" s="4" customFormat="1" ht="21" customHeight="1" x14ac:dyDescent="0.25">
      <c r="A65" s="165" t="s">
        <v>91</v>
      </c>
      <c r="B65" s="146"/>
      <c r="C65" s="66"/>
      <c r="D65" s="127"/>
      <c r="E65" s="103"/>
      <c r="F65" s="104"/>
      <c r="G65" s="38"/>
      <c r="H65" s="49"/>
      <c r="I65" s="50">
        <f>Tableau79569396144277[[#This Row],[Colonne4]]*Tableau79569396144277[[#This Row],[Agnelles32]]</f>
        <v>0</v>
      </c>
      <c r="J65" s="168"/>
      <c r="K65" s="198"/>
      <c r="L65" s="103"/>
      <c r="M65" s="104"/>
      <c r="N65" s="38"/>
      <c r="O65" s="44"/>
      <c r="P65" s="31">
        <f t="shared" si="2"/>
        <v>0</v>
      </c>
    </row>
    <row r="66" spans="1:246" s="2" customFormat="1" x14ac:dyDescent="0.25">
      <c r="A66" s="253"/>
      <c r="B66" s="149" t="s">
        <v>212</v>
      </c>
      <c r="C66" s="54" t="s">
        <v>118</v>
      </c>
      <c r="D66" s="123">
        <f>+D45</f>
        <v>15</v>
      </c>
      <c r="E66" s="141">
        <f>+E45</f>
        <v>79</v>
      </c>
      <c r="F66" s="142"/>
      <c r="G66" s="39"/>
      <c r="H66" s="44"/>
      <c r="I66" s="205">
        <f>Tableau79569396144277[[#This Row],[Colonne4]]*Tableau79569396144277[[#This Row],[Agnelles32]]</f>
        <v>0</v>
      </c>
      <c r="J66" s="168"/>
      <c r="K66" s="206">
        <f>+K45</f>
        <v>15</v>
      </c>
      <c r="L66" s="141">
        <f>+L45</f>
        <v>79</v>
      </c>
      <c r="M66" s="142"/>
      <c r="N66" s="39"/>
      <c r="O66" s="21"/>
      <c r="P66" s="31">
        <f t="shared" si="2"/>
        <v>0</v>
      </c>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13"/>
      <c r="BS66" s="13"/>
      <c r="BT66" s="13"/>
      <c r="BU66" s="13"/>
      <c r="BV66" s="13"/>
      <c r="BW66" s="13"/>
      <c r="BX66" s="13"/>
      <c r="BY66" s="13"/>
      <c r="BZ66" s="13"/>
      <c r="CA66" s="13"/>
      <c r="CB66" s="13"/>
      <c r="CC66" s="13"/>
      <c r="CD66" s="13"/>
      <c r="CE66" s="13"/>
      <c r="CF66" s="13"/>
      <c r="CG66" s="13"/>
      <c r="CH66" s="13"/>
      <c r="CI66" s="13"/>
      <c r="CJ66" s="13"/>
      <c r="CK66" s="13"/>
      <c r="CL66" s="13"/>
      <c r="CM66" s="13"/>
      <c r="CN66" s="13"/>
      <c r="CO66" s="13"/>
      <c r="CP66" s="13"/>
      <c r="CQ66" s="13"/>
      <c r="CR66" s="13"/>
      <c r="CS66" s="13"/>
      <c r="CT66" s="13"/>
      <c r="CU66" s="13"/>
      <c r="CV66" s="13"/>
      <c r="CW66" s="13"/>
      <c r="CX66" s="13"/>
      <c r="CY66" s="13"/>
      <c r="CZ66" s="13"/>
      <c r="DA66" s="13"/>
      <c r="DB66" s="13"/>
      <c r="DC66" s="13"/>
      <c r="DD66" s="13"/>
      <c r="DE66" s="13"/>
      <c r="DF66" s="13"/>
      <c r="DG66" s="13"/>
      <c r="DH66" s="13"/>
      <c r="DI66" s="13"/>
      <c r="DJ66" s="13"/>
      <c r="DK66" s="13"/>
      <c r="DL66" s="13"/>
      <c r="DM66" s="13"/>
      <c r="DN66" s="13"/>
      <c r="DO66" s="13"/>
      <c r="DP66" s="13"/>
      <c r="DQ66" s="13"/>
      <c r="DR66" s="13"/>
      <c r="DS66" s="13"/>
      <c r="DT66" s="13"/>
      <c r="DU66" s="13"/>
      <c r="DV66" s="13"/>
      <c r="DW66" s="13"/>
      <c r="DX66" s="13"/>
      <c r="DY66" s="13"/>
      <c r="DZ66" s="13"/>
      <c r="EA66" s="13"/>
      <c r="EB66" s="13"/>
      <c r="EC66" s="13"/>
      <c r="ED66" s="13"/>
      <c r="EE66" s="13"/>
      <c r="EF66" s="13"/>
      <c r="EG66" s="13"/>
      <c r="EH66" s="13"/>
      <c r="EI66" s="13"/>
      <c r="EJ66" s="13"/>
      <c r="EK66" s="13"/>
      <c r="EL66" s="13"/>
      <c r="EM66" s="13"/>
      <c r="EN66" s="13"/>
      <c r="EO66" s="13"/>
      <c r="EP66" s="13"/>
      <c r="EQ66" s="13"/>
      <c r="ER66" s="13"/>
      <c r="ES66" s="13"/>
      <c r="ET66" s="13"/>
      <c r="EU66" s="13"/>
      <c r="EV66" s="13"/>
      <c r="EW66" s="13"/>
      <c r="EX66" s="13"/>
      <c r="EY66" s="13"/>
      <c r="EZ66" s="13"/>
      <c r="FA66" s="13"/>
      <c r="FB66" s="13"/>
      <c r="FC66" s="13"/>
      <c r="FD66" s="13"/>
      <c r="FE66" s="13"/>
      <c r="FF66" s="13"/>
      <c r="FG66" s="13"/>
      <c r="FH66" s="13"/>
      <c r="FI66" s="13"/>
      <c r="FJ66" s="13"/>
      <c r="FK66" s="13"/>
      <c r="FL66" s="13"/>
      <c r="FM66" s="13"/>
      <c r="FN66" s="13"/>
      <c r="FO66" s="13"/>
      <c r="FP66" s="13"/>
      <c r="FQ66" s="13"/>
      <c r="FR66" s="13"/>
      <c r="FS66" s="13"/>
      <c r="FT66" s="13"/>
      <c r="FU66" s="13"/>
      <c r="FV66" s="13"/>
      <c r="FW66" s="13"/>
      <c r="FX66" s="13"/>
      <c r="FY66" s="13"/>
      <c r="FZ66" s="13"/>
      <c r="GA66" s="13"/>
      <c r="GB66" s="13"/>
      <c r="GC66" s="13"/>
      <c r="GD66" s="13"/>
      <c r="GE66" s="13"/>
      <c r="GF66" s="13"/>
      <c r="GG66" s="13"/>
      <c r="GH66" s="13"/>
      <c r="GI66" s="13"/>
      <c r="GJ66" s="13"/>
      <c r="GK66" s="13"/>
      <c r="GL66" s="13"/>
      <c r="GM66" s="13"/>
      <c r="GN66" s="13"/>
      <c r="GO66" s="13"/>
      <c r="GP66" s="13"/>
      <c r="GQ66" s="13"/>
      <c r="GR66" s="13"/>
      <c r="GS66" s="13"/>
      <c r="GT66" s="13"/>
      <c r="GU66" s="13"/>
      <c r="GV66" s="13"/>
      <c r="GW66" s="13"/>
      <c r="GX66" s="13"/>
      <c r="GY66" s="13"/>
      <c r="GZ66" s="13"/>
      <c r="HA66" s="13"/>
      <c r="HB66" s="13"/>
      <c r="HC66" s="13"/>
      <c r="HD66" s="13"/>
      <c r="HE66" s="13"/>
      <c r="HF66" s="13"/>
      <c r="HG66" s="13"/>
      <c r="HH66" s="13"/>
      <c r="HI66" s="13"/>
      <c r="HJ66" s="13"/>
      <c r="HK66" s="13"/>
      <c r="HL66" s="13"/>
      <c r="HM66" s="13"/>
      <c r="HN66" s="13"/>
      <c r="HO66" s="13"/>
      <c r="HP66" s="13"/>
      <c r="HQ66" s="13"/>
      <c r="HR66" s="13"/>
      <c r="HS66" s="13"/>
      <c r="HT66" s="13"/>
      <c r="HU66" s="13"/>
      <c r="HV66" s="13"/>
      <c r="HW66" s="13"/>
      <c r="HX66" s="13"/>
      <c r="HY66" s="13"/>
      <c r="HZ66" s="13"/>
      <c r="IA66" s="13"/>
      <c r="IB66" s="13"/>
      <c r="IC66" s="13"/>
      <c r="ID66" s="13"/>
      <c r="IE66" s="13"/>
      <c r="IF66" s="13"/>
      <c r="IG66" s="13"/>
      <c r="IH66" s="13"/>
      <c r="II66" s="13"/>
      <c r="IJ66" s="13"/>
      <c r="IK66" s="13"/>
      <c r="IL66" s="13"/>
    </row>
    <row r="67" spans="1:246" x14ac:dyDescent="0.25">
      <c r="A67" s="152" t="s">
        <v>112</v>
      </c>
      <c r="B67" s="150" t="s">
        <v>17</v>
      </c>
      <c r="C67" s="61"/>
      <c r="D67" s="83"/>
      <c r="E67" s="84"/>
      <c r="F67" s="85"/>
      <c r="G67" s="40"/>
      <c r="H67" s="49"/>
      <c r="I67" s="50">
        <f>Tableau79569396144277[[#This Row],[Colonne4]]*Tableau79569396144277[[#This Row],[Agnelles32]]</f>
        <v>0</v>
      </c>
      <c r="J67" s="168"/>
      <c r="K67" s="184"/>
      <c r="L67" s="90"/>
      <c r="M67" s="91"/>
      <c r="N67" s="40"/>
      <c r="O67" s="21"/>
      <c r="P67" s="31">
        <f t="shared" si="2"/>
        <v>0</v>
      </c>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8"/>
      <c r="DL67" s="8"/>
      <c r="DM67" s="8"/>
      <c r="DN67" s="8"/>
      <c r="DO67" s="8"/>
      <c r="DP67" s="8"/>
      <c r="DQ67" s="8"/>
      <c r="DR67" s="8"/>
      <c r="DS67" s="8"/>
      <c r="DT67" s="8"/>
      <c r="DU67" s="8"/>
      <c r="DV67" s="8"/>
      <c r="DW67" s="8"/>
      <c r="DX67" s="8"/>
      <c r="DY67" s="8"/>
      <c r="DZ67" s="8"/>
      <c r="EA67" s="8"/>
      <c r="EB67" s="8"/>
      <c r="EC67" s="8"/>
      <c r="ED67" s="8"/>
      <c r="EE67" s="8"/>
      <c r="EF67" s="8"/>
      <c r="EG67" s="8"/>
      <c r="EH67" s="8"/>
      <c r="EI67" s="8"/>
      <c r="EJ67" s="8"/>
      <c r="EK67" s="8"/>
      <c r="EL67" s="8"/>
      <c r="EM67" s="8"/>
      <c r="EN67" s="8"/>
      <c r="EO67" s="8"/>
      <c r="EP67" s="8"/>
      <c r="EQ67" s="8"/>
      <c r="ER67" s="8"/>
      <c r="ES67" s="8"/>
      <c r="ET67" s="8"/>
      <c r="EU67" s="8"/>
      <c r="EV67" s="8"/>
      <c r="EW67" s="8"/>
      <c r="EX67" s="8"/>
      <c r="EY67" s="8"/>
      <c r="EZ67" s="8"/>
      <c r="FA67" s="8"/>
      <c r="FB67" s="8"/>
      <c r="FC67" s="8"/>
      <c r="FD67" s="8"/>
      <c r="FE67" s="8"/>
      <c r="FF67" s="8"/>
      <c r="FG67" s="8"/>
      <c r="FH67" s="8"/>
      <c r="FI67" s="8"/>
      <c r="FJ67" s="8"/>
      <c r="FK67" s="8"/>
      <c r="FL67" s="8"/>
      <c r="FM67" s="8"/>
      <c r="FN67" s="8"/>
      <c r="FO67" s="8"/>
      <c r="FP67" s="8"/>
      <c r="FQ67" s="8"/>
      <c r="FR67" s="8"/>
      <c r="FS67" s="8"/>
      <c r="FT67" s="8"/>
      <c r="FU67" s="8"/>
      <c r="FV67" s="8"/>
      <c r="FW67" s="8"/>
      <c r="FX67" s="8"/>
      <c r="FY67" s="8"/>
      <c r="FZ67" s="8"/>
      <c r="GA67" s="8"/>
      <c r="GB67" s="8"/>
      <c r="GC67" s="8"/>
      <c r="GD67" s="8"/>
      <c r="GE67" s="8"/>
      <c r="GF67" s="8"/>
      <c r="GG67" s="8"/>
      <c r="GH67" s="8"/>
      <c r="GI67" s="8"/>
      <c r="GJ67" s="8"/>
      <c r="GK67" s="8"/>
      <c r="GL67" s="8"/>
      <c r="GM67" s="8"/>
      <c r="GN67" s="8"/>
      <c r="GO67" s="8"/>
      <c r="GP67" s="8"/>
      <c r="GQ67" s="8"/>
      <c r="GR67" s="8"/>
      <c r="GS67" s="8"/>
      <c r="GT67" s="8"/>
      <c r="GU67" s="8"/>
      <c r="GV67" s="8"/>
      <c r="GW67" s="8"/>
      <c r="GX67" s="8"/>
      <c r="GY67" s="8"/>
      <c r="GZ67" s="8"/>
      <c r="HA67" s="8"/>
      <c r="HB67" s="8"/>
      <c r="HC67" s="8"/>
      <c r="HD67" s="8"/>
      <c r="HE67" s="8"/>
      <c r="HF67" s="8"/>
      <c r="HG67" s="8"/>
      <c r="HH67" s="8"/>
      <c r="HI67" s="8"/>
      <c r="HJ67" s="8"/>
      <c r="HK67" s="8"/>
      <c r="HL67" s="8"/>
      <c r="HM67" s="8"/>
      <c r="HN67" s="8"/>
      <c r="HO67" s="8"/>
      <c r="HP67" s="8"/>
      <c r="HQ67" s="8"/>
      <c r="HR67" s="8"/>
      <c r="HS67" s="8"/>
      <c r="HT67" s="8"/>
      <c r="HU67" s="8"/>
      <c r="HV67" s="8"/>
      <c r="HW67" s="8"/>
      <c r="HX67" s="8"/>
      <c r="HY67" s="8"/>
      <c r="HZ67" s="8"/>
      <c r="IA67" s="8"/>
      <c r="IB67" s="8"/>
      <c r="IC67" s="8"/>
      <c r="ID67" s="8"/>
      <c r="IE67" s="8"/>
      <c r="IF67" s="8"/>
      <c r="IG67" s="8"/>
      <c r="IH67" s="8"/>
      <c r="II67" s="8"/>
      <c r="IJ67" s="8"/>
      <c r="IK67" s="8"/>
      <c r="IL67" s="8"/>
    </row>
    <row r="68" spans="1:246" x14ac:dyDescent="0.25">
      <c r="A68" s="152"/>
      <c r="B68" s="153" t="s">
        <v>154</v>
      </c>
      <c r="C68" s="61" t="s">
        <v>6</v>
      </c>
      <c r="D68" s="89">
        <f>('DONNÉES À ENTRER'!B28/60*'DONNÉES À ENTRER'!B31)*'Grille de calculs - PROLIFIQUE'!D66</f>
        <v>88.8</v>
      </c>
      <c r="E68" s="90" t="s">
        <v>147</v>
      </c>
      <c r="F68" s="85"/>
      <c r="G68" s="26"/>
      <c r="H68" s="49"/>
      <c r="I68" s="50">
        <f>Tableau79569396144277[[#This Row],[Colonne4]]*Tableau79569396144277[[#This Row],[Agnelles32]]</f>
        <v>0</v>
      </c>
      <c r="J68" s="168"/>
      <c r="K68" s="184">
        <f>('DONNÉES À ENTRER'!D28/60*'DONNÉES À ENTRER'!D31)*'Grille de calculs - PROLIFIQUE'!K66</f>
        <v>88.8</v>
      </c>
      <c r="L68" s="90" t="s">
        <v>147</v>
      </c>
      <c r="M68" s="91"/>
      <c r="N68" s="26"/>
      <c r="O68" s="21"/>
      <c r="P68" s="31">
        <f t="shared" si="2"/>
        <v>0</v>
      </c>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8"/>
      <c r="DR68" s="8"/>
      <c r="DS68" s="8"/>
      <c r="DT68" s="8"/>
      <c r="DU68" s="8"/>
      <c r="DV68" s="8"/>
      <c r="DW68" s="8"/>
      <c r="DX68" s="8"/>
      <c r="DY68" s="8"/>
      <c r="DZ68" s="8"/>
      <c r="EA68" s="8"/>
      <c r="EB68" s="8"/>
      <c r="EC68" s="8"/>
      <c r="ED68" s="8"/>
      <c r="EE68" s="8"/>
      <c r="EF68" s="8"/>
      <c r="EG68" s="8"/>
      <c r="EH68" s="8"/>
      <c r="EI68" s="8"/>
      <c r="EJ68" s="8"/>
      <c r="EK68" s="8"/>
      <c r="EL68" s="8"/>
      <c r="EM68" s="8"/>
      <c r="EN68" s="8"/>
      <c r="EO68" s="8"/>
      <c r="EP68" s="8"/>
      <c r="EQ68" s="8"/>
      <c r="ER68" s="8"/>
      <c r="ES68" s="8"/>
      <c r="ET68" s="8"/>
      <c r="EU68" s="8"/>
      <c r="EV68" s="8"/>
      <c r="EW68" s="8"/>
      <c r="EX68" s="8"/>
      <c r="EY68" s="8"/>
      <c r="EZ68" s="8"/>
      <c r="FA68" s="8"/>
      <c r="FB68" s="8"/>
      <c r="FC68" s="8"/>
      <c r="FD68" s="8"/>
      <c r="FE68" s="8"/>
      <c r="FF68" s="8"/>
      <c r="FG68" s="8"/>
      <c r="FH68" s="8"/>
      <c r="FI68" s="8"/>
      <c r="FJ68" s="8"/>
      <c r="FK68" s="8"/>
      <c r="FL68" s="8"/>
      <c r="FM68" s="8"/>
      <c r="FN68" s="8"/>
      <c r="FO68" s="8"/>
      <c r="FP68" s="8"/>
      <c r="FQ68" s="8"/>
      <c r="FR68" s="8"/>
      <c r="FS68" s="8"/>
      <c r="FT68" s="8"/>
      <c r="FU68" s="8"/>
      <c r="FV68" s="8"/>
      <c r="FW68" s="8"/>
      <c r="FX68" s="8"/>
      <c r="FY68" s="8"/>
      <c r="FZ68" s="8"/>
      <c r="GA68" s="8"/>
      <c r="GB68" s="8"/>
      <c r="GC68" s="8"/>
      <c r="GD68" s="8"/>
      <c r="GE68" s="8"/>
      <c r="GF68" s="8"/>
      <c r="GG68" s="8"/>
      <c r="GH68" s="8"/>
      <c r="GI68" s="8"/>
      <c r="GJ68" s="8"/>
      <c r="GK68" s="8"/>
      <c r="GL68" s="8"/>
      <c r="GM68" s="8"/>
      <c r="GN68" s="8"/>
      <c r="GO68" s="8"/>
      <c r="GP68" s="8"/>
      <c r="GQ68" s="8"/>
      <c r="GR68" s="8"/>
      <c r="GS68" s="8"/>
      <c r="GT68" s="8"/>
      <c r="GU68" s="8"/>
      <c r="GV68" s="8"/>
      <c r="GW68" s="8"/>
      <c r="GX68" s="8"/>
      <c r="GY68" s="8"/>
      <c r="GZ68" s="8"/>
      <c r="HA68" s="8"/>
      <c r="HB68" s="8"/>
      <c r="HC68" s="8"/>
      <c r="HD68" s="8"/>
      <c r="HE68" s="8"/>
      <c r="HF68" s="8"/>
      <c r="HG68" s="8"/>
      <c r="HH68" s="8"/>
      <c r="HI68" s="8"/>
      <c r="HJ68" s="8"/>
      <c r="HK68" s="8"/>
      <c r="HL68" s="8"/>
      <c r="HM68" s="8"/>
      <c r="HN68" s="8"/>
      <c r="HO68" s="8"/>
      <c r="HP68" s="8"/>
      <c r="HQ68" s="8"/>
      <c r="HR68" s="8"/>
      <c r="HS68" s="8"/>
      <c r="HT68" s="8"/>
      <c r="HU68" s="8"/>
      <c r="HV68" s="8"/>
      <c r="HW68" s="8"/>
      <c r="HX68" s="8"/>
      <c r="HY68" s="8"/>
      <c r="HZ68" s="8"/>
      <c r="IA68" s="8"/>
      <c r="IB68" s="8"/>
      <c r="IC68" s="8"/>
      <c r="ID68" s="8"/>
      <c r="IE68" s="8"/>
      <c r="IF68" s="8"/>
      <c r="IG68" s="8"/>
      <c r="IH68" s="8"/>
      <c r="II68" s="8"/>
      <c r="IJ68" s="8"/>
      <c r="IK68" s="8"/>
      <c r="IL68" s="8"/>
    </row>
    <row r="69" spans="1:246" ht="30" x14ac:dyDescent="0.25">
      <c r="A69" s="152"/>
      <c r="B69" s="166" t="s">
        <v>152</v>
      </c>
      <c r="C69" s="61" t="s">
        <v>6</v>
      </c>
      <c r="D69" s="89">
        <f>('DONNÉES À ENTRER'!B29/60*'DONNÉES À ENTRER'!B31)*'Grille de calculs - PROLIFIQUE'!D66</f>
        <v>399.6</v>
      </c>
      <c r="E69" s="90">
        <f>(('DONNÉES À ENTRER'!B29/60*'DONNÉES À ENTRER'!B31))</f>
        <v>26.64</v>
      </c>
      <c r="F69" s="85"/>
      <c r="G69" s="26"/>
      <c r="H69" s="49"/>
      <c r="I69" s="50">
        <f>Tableau79569396144277[[#This Row],[Colonne4]]*Tableau79569396144277[[#This Row],[Agnelles32]]</f>
        <v>0</v>
      </c>
      <c r="J69" s="168"/>
      <c r="K69" s="184">
        <f>('DONNÉES À ENTRER'!D29/60*'DONNÉES À ENTRER'!D31)*'Grille de calculs - PROLIFIQUE'!K66</f>
        <v>399.6</v>
      </c>
      <c r="L69" s="90">
        <f>(('DONNÉES À ENTRER'!D29/60*'DONNÉES À ENTRER'!D31))</f>
        <v>26.64</v>
      </c>
      <c r="M69" s="91"/>
      <c r="N69" s="26"/>
      <c r="O69" s="21"/>
      <c r="P69" s="31">
        <f t="shared" si="2"/>
        <v>0</v>
      </c>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8"/>
      <c r="DR69" s="8"/>
      <c r="DS69" s="8"/>
      <c r="DT69" s="8"/>
      <c r="DU69" s="8"/>
      <c r="DV69" s="8"/>
      <c r="DW69" s="8"/>
      <c r="DX69" s="8"/>
      <c r="DY69" s="8"/>
      <c r="DZ69" s="8"/>
      <c r="EA69" s="8"/>
      <c r="EB69" s="8"/>
      <c r="EC69" s="8"/>
      <c r="ED69" s="8"/>
      <c r="EE69" s="8"/>
      <c r="EF69" s="8"/>
      <c r="EG69" s="8"/>
      <c r="EH69" s="8"/>
      <c r="EI69" s="8"/>
      <c r="EJ69" s="8"/>
      <c r="EK69" s="8"/>
      <c r="EL69" s="8"/>
      <c r="EM69" s="8"/>
      <c r="EN69" s="8"/>
      <c r="EO69" s="8"/>
      <c r="EP69" s="8"/>
      <c r="EQ69" s="8"/>
      <c r="ER69" s="8"/>
      <c r="ES69" s="8"/>
      <c r="ET69" s="8"/>
      <c r="EU69" s="8"/>
      <c r="EV69" s="8"/>
      <c r="EW69" s="8"/>
      <c r="EX69" s="8"/>
      <c r="EY69" s="8"/>
      <c r="EZ69" s="8"/>
      <c r="FA69" s="8"/>
      <c r="FB69" s="8"/>
      <c r="FC69" s="8"/>
      <c r="FD69" s="8"/>
      <c r="FE69" s="8"/>
      <c r="FF69" s="8"/>
      <c r="FG69" s="8"/>
      <c r="FH69" s="8"/>
      <c r="FI69" s="8"/>
      <c r="FJ69" s="8"/>
      <c r="FK69" s="8"/>
      <c r="FL69" s="8"/>
      <c r="FM69" s="8"/>
      <c r="FN69" s="8"/>
      <c r="FO69" s="8"/>
      <c r="FP69" s="8"/>
      <c r="FQ69" s="8"/>
      <c r="FR69" s="8"/>
      <c r="FS69" s="8"/>
      <c r="FT69" s="8"/>
      <c r="FU69" s="8"/>
      <c r="FV69" s="8"/>
      <c r="FW69" s="8"/>
      <c r="FX69" s="8"/>
      <c r="FY69" s="8"/>
      <c r="FZ69" s="8"/>
      <c r="GA69" s="8"/>
      <c r="GB69" s="8"/>
      <c r="GC69" s="8"/>
      <c r="GD69" s="8"/>
      <c r="GE69" s="8"/>
      <c r="GF69" s="8"/>
      <c r="GG69" s="8"/>
      <c r="GH69" s="8"/>
      <c r="GI69" s="8"/>
      <c r="GJ69" s="8"/>
      <c r="GK69" s="8"/>
      <c r="GL69" s="8"/>
      <c r="GM69" s="8"/>
      <c r="GN69" s="8"/>
      <c r="GO69" s="8"/>
      <c r="GP69" s="8"/>
      <c r="GQ69" s="8"/>
      <c r="GR69" s="8"/>
      <c r="GS69" s="8"/>
      <c r="GT69" s="8"/>
      <c r="GU69" s="8"/>
      <c r="GV69" s="8"/>
      <c r="GW69" s="8"/>
      <c r="GX69" s="8"/>
      <c r="GY69" s="8"/>
      <c r="GZ69" s="8"/>
      <c r="HA69" s="8"/>
      <c r="HB69" s="8"/>
      <c r="HC69" s="8"/>
      <c r="HD69" s="8"/>
      <c r="HE69" s="8"/>
      <c r="HF69" s="8"/>
      <c r="HG69" s="8"/>
      <c r="HH69" s="8"/>
      <c r="HI69" s="8"/>
      <c r="HJ69" s="8"/>
      <c r="HK69" s="8"/>
      <c r="HL69" s="8"/>
      <c r="HM69" s="8"/>
      <c r="HN69" s="8"/>
      <c r="HO69" s="8"/>
      <c r="HP69" s="8"/>
      <c r="HQ69" s="8"/>
      <c r="HR69" s="8"/>
      <c r="HS69" s="8"/>
      <c r="HT69" s="8"/>
      <c r="HU69" s="8"/>
      <c r="HV69" s="8"/>
      <c r="HW69" s="8"/>
      <c r="HX69" s="8"/>
      <c r="HY69" s="8"/>
      <c r="HZ69" s="8"/>
      <c r="IA69" s="8"/>
      <c r="IB69" s="8"/>
      <c r="IC69" s="8"/>
      <c r="ID69" s="8"/>
      <c r="IE69" s="8"/>
      <c r="IF69" s="8"/>
      <c r="IG69" s="8"/>
      <c r="IH69" s="8"/>
      <c r="II69" s="8"/>
      <c r="IJ69" s="8"/>
      <c r="IK69" s="8"/>
      <c r="IL69" s="8"/>
    </row>
    <row r="70" spans="1:246" x14ac:dyDescent="0.25">
      <c r="A70" s="418"/>
      <c r="B70" s="258" t="s">
        <v>126</v>
      </c>
      <c r="C70" s="250" t="s">
        <v>6</v>
      </c>
      <c r="D70" s="233">
        <f>('DONNÉES À ENTRER'!B30/60*'DONNÉES À ENTRER'!B31)*'Grille de calculs - PROLIFIQUE'!D66</f>
        <v>88.8</v>
      </c>
      <c r="E70" s="234">
        <f>('DONNÉES À ENTRER'!B30/60*'DONNÉES À ENTRER'!B31)</f>
        <v>5.92</v>
      </c>
      <c r="F70" s="259"/>
      <c r="G70" s="236"/>
      <c r="H70" s="251"/>
      <c r="I70" s="246">
        <f>Tableau79569396144277[[#This Row],[Colonne4]]*Tableau79569396144277[[#This Row],[Agnelles32]]</f>
        <v>0</v>
      </c>
      <c r="J70" s="168"/>
      <c r="K70" s="239">
        <f>('DONNÉES À ENTRER'!D30/60*'DONNÉES À ENTRER'!D31)*'Grille de calculs - PROLIFIQUE'!K66</f>
        <v>88.8</v>
      </c>
      <c r="L70" s="234">
        <f>('DONNÉES À ENTRER'!D30/60*'DONNÉES À ENTRER'!D31)</f>
        <v>5.92</v>
      </c>
      <c r="M70" s="235"/>
      <c r="N70" s="26"/>
      <c r="O70" s="21"/>
      <c r="P70" s="31">
        <f t="shared" si="2"/>
        <v>0</v>
      </c>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c r="DM70" s="8"/>
      <c r="DN70" s="8"/>
      <c r="DO70" s="8"/>
      <c r="DP70" s="8"/>
      <c r="DQ70" s="8"/>
      <c r="DR70" s="8"/>
      <c r="DS70" s="8"/>
      <c r="DT70" s="8"/>
      <c r="DU70" s="8"/>
      <c r="DV70" s="8"/>
      <c r="DW70" s="8"/>
      <c r="DX70" s="8"/>
      <c r="DY70" s="8"/>
      <c r="DZ70" s="8"/>
      <c r="EA70" s="8"/>
      <c r="EB70" s="8"/>
      <c r="EC70" s="8"/>
      <c r="ED70" s="8"/>
      <c r="EE70" s="8"/>
      <c r="EF70" s="8"/>
      <c r="EG70" s="8"/>
      <c r="EH70" s="8"/>
      <c r="EI70" s="8"/>
      <c r="EJ70" s="8"/>
      <c r="EK70" s="8"/>
      <c r="EL70" s="8"/>
      <c r="EM70" s="8"/>
      <c r="EN70" s="8"/>
      <c r="EO70" s="8"/>
      <c r="EP70" s="8"/>
      <c r="EQ70" s="8"/>
      <c r="ER70" s="8"/>
      <c r="ES70" s="8"/>
      <c r="ET70" s="8"/>
      <c r="EU70" s="8"/>
      <c r="EV70" s="8"/>
      <c r="EW70" s="8"/>
      <c r="EX70" s="8"/>
      <c r="EY70" s="8"/>
      <c r="EZ70" s="8"/>
      <c r="FA70" s="8"/>
      <c r="FB70" s="8"/>
      <c r="FC70" s="8"/>
      <c r="FD70" s="8"/>
      <c r="FE70" s="8"/>
      <c r="FF70" s="8"/>
      <c r="FG70" s="8"/>
      <c r="FH70" s="8"/>
      <c r="FI70" s="8"/>
      <c r="FJ70" s="8"/>
      <c r="FK70" s="8"/>
      <c r="FL70" s="8"/>
      <c r="FM70" s="8"/>
      <c r="FN70" s="8"/>
      <c r="FO70" s="8"/>
      <c r="FP70" s="8"/>
      <c r="FQ70" s="8"/>
      <c r="FR70" s="8"/>
      <c r="FS70" s="8"/>
      <c r="FT70" s="8"/>
      <c r="FU70" s="8"/>
      <c r="FV70" s="8"/>
      <c r="FW70" s="8"/>
      <c r="FX70" s="8"/>
      <c r="FY70" s="8"/>
      <c r="FZ70" s="8"/>
      <c r="GA70" s="8"/>
      <c r="GB70" s="8"/>
      <c r="GC70" s="8"/>
      <c r="GD70" s="8"/>
      <c r="GE70" s="8"/>
      <c r="GF70" s="8"/>
      <c r="GG70" s="8"/>
      <c r="GH70" s="8"/>
      <c r="GI70" s="8"/>
      <c r="GJ70" s="8"/>
      <c r="GK70" s="8"/>
      <c r="GL70" s="8"/>
      <c r="GM70" s="8"/>
      <c r="GN70" s="8"/>
      <c r="GO70" s="8"/>
      <c r="GP70" s="8"/>
      <c r="GQ70" s="8"/>
      <c r="GR70" s="8"/>
      <c r="GS70" s="8"/>
      <c r="GT70" s="8"/>
      <c r="GU70" s="8"/>
      <c r="GV70" s="8"/>
      <c r="GW70" s="8"/>
      <c r="GX70" s="8"/>
      <c r="GY70" s="8"/>
      <c r="GZ70" s="8"/>
      <c r="HA70" s="8"/>
      <c r="HB70" s="8"/>
      <c r="HC70" s="8"/>
      <c r="HD70" s="8"/>
      <c r="HE70" s="8"/>
      <c r="HF70" s="8"/>
      <c r="HG70" s="8"/>
      <c r="HH70" s="8"/>
      <c r="HI70" s="8"/>
      <c r="HJ70" s="8"/>
      <c r="HK70" s="8"/>
      <c r="HL70" s="8"/>
      <c r="HM70" s="8"/>
      <c r="HN70" s="8"/>
      <c r="HO70" s="8"/>
      <c r="HP70" s="8"/>
      <c r="HQ70" s="8"/>
      <c r="HR70" s="8"/>
      <c r="HS70" s="8"/>
      <c r="HT70" s="8"/>
      <c r="HU70" s="8"/>
      <c r="HV70" s="8"/>
      <c r="HW70" s="8"/>
      <c r="HX70" s="8"/>
      <c r="HY70" s="8"/>
      <c r="HZ70" s="8"/>
      <c r="IA70" s="8"/>
      <c r="IB70" s="8"/>
      <c r="IC70" s="8"/>
      <c r="ID70" s="8"/>
      <c r="IE70" s="8"/>
      <c r="IF70" s="8"/>
      <c r="IG70" s="8"/>
      <c r="IH70" s="8"/>
      <c r="II70" s="8"/>
      <c r="IJ70" s="8"/>
      <c r="IK70" s="8"/>
      <c r="IL70" s="8"/>
    </row>
    <row r="71" spans="1:246" x14ac:dyDescent="0.25">
      <c r="A71" s="152" t="s">
        <v>113</v>
      </c>
      <c r="B71" s="150" t="s">
        <v>43</v>
      </c>
      <c r="C71" s="61"/>
      <c r="D71" s="89"/>
      <c r="E71" s="90"/>
      <c r="F71" s="85"/>
      <c r="G71" s="26"/>
      <c r="H71" s="49"/>
      <c r="I71" s="50">
        <f>Tableau79569396144277[[#This Row],[Colonne4]]*Tableau79569396144277[[#This Row],[Agnelles32]]</f>
        <v>0</v>
      </c>
      <c r="J71" s="168"/>
      <c r="K71" s="184"/>
      <c r="L71" s="90"/>
      <c r="M71" s="91"/>
      <c r="N71" s="26"/>
      <c r="O71" s="21"/>
      <c r="P71" s="31">
        <f t="shared" si="2"/>
        <v>0</v>
      </c>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8"/>
      <c r="DJ71" s="8"/>
      <c r="DK71" s="8"/>
      <c r="DL71" s="8"/>
      <c r="DM71" s="8"/>
      <c r="DN71" s="8"/>
      <c r="DO71" s="8"/>
      <c r="DP71" s="8"/>
      <c r="DQ71" s="8"/>
      <c r="DR71" s="8"/>
      <c r="DS71" s="8"/>
      <c r="DT71" s="8"/>
      <c r="DU71" s="8"/>
      <c r="DV71" s="8"/>
      <c r="DW71" s="8"/>
      <c r="DX71" s="8"/>
      <c r="DY71" s="8"/>
      <c r="DZ71" s="8"/>
      <c r="EA71" s="8"/>
      <c r="EB71" s="8"/>
      <c r="EC71" s="8"/>
      <c r="ED71" s="8"/>
      <c r="EE71" s="8"/>
      <c r="EF71" s="8"/>
      <c r="EG71" s="8"/>
      <c r="EH71" s="8"/>
      <c r="EI71" s="8"/>
      <c r="EJ71" s="8"/>
      <c r="EK71" s="8"/>
      <c r="EL71" s="8"/>
      <c r="EM71" s="8"/>
      <c r="EN71" s="8"/>
      <c r="EO71" s="8"/>
      <c r="EP71" s="8"/>
      <c r="EQ71" s="8"/>
      <c r="ER71" s="8"/>
      <c r="ES71" s="8"/>
      <c r="ET71" s="8"/>
      <c r="EU71" s="8"/>
      <c r="EV71" s="8"/>
      <c r="EW71" s="8"/>
      <c r="EX71" s="8"/>
      <c r="EY71" s="8"/>
      <c r="EZ71" s="8"/>
      <c r="FA71" s="8"/>
      <c r="FB71" s="8"/>
      <c r="FC71" s="8"/>
      <c r="FD71" s="8"/>
      <c r="FE71" s="8"/>
      <c r="FF71" s="8"/>
      <c r="FG71" s="8"/>
      <c r="FH71" s="8"/>
      <c r="FI71" s="8"/>
      <c r="FJ71" s="8"/>
      <c r="FK71" s="8"/>
      <c r="FL71" s="8"/>
      <c r="FM71" s="8"/>
      <c r="FN71" s="8"/>
      <c r="FO71" s="8"/>
      <c r="FP71" s="8"/>
      <c r="FQ71" s="8"/>
      <c r="FR71" s="8"/>
      <c r="FS71" s="8"/>
      <c r="FT71" s="8"/>
      <c r="FU71" s="8"/>
      <c r="FV71" s="8"/>
      <c r="FW71" s="8"/>
      <c r="FX71" s="8"/>
      <c r="FY71" s="8"/>
      <c r="FZ71" s="8"/>
      <c r="GA71" s="8"/>
      <c r="GB71" s="8"/>
      <c r="GC71" s="8"/>
      <c r="GD71" s="8"/>
      <c r="GE71" s="8"/>
      <c r="GF71" s="8"/>
      <c r="GG71" s="8"/>
      <c r="GH71" s="8"/>
      <c r="GI71" s="8"/>
      <c r="GJ71" s="8"/>
      <c r="GK71" s="8"/>
      <c r="GL71" s="8"/>
      <c r="GM71" s="8"/>
      <c r="GN71" s="8"/>
      <c r="GO71" s="8"/>
      <c r="GP71" s="8"/>
      <c r="GQ71" s="8"/>
      <c r="GR71" s="8"/>
      <c r="GS71" s="8"/>
      <c r="GT71" s="8"/>
      <c r="GU71" s="8"/>
      <c r="GV71" s="8"/>
      <c r="GW71" s="8"/>
      <c r="GX71" s="8"/>
      <c r="GY71" s="8"/>
      <c r="GZ71" s="8"/>
      <c r="HA71" s="8"/>
      <c r="HB71" s="8"/>
      <c r="HC71" s="8"/>
      <c r="HD71" s="8"/>
      <c r="HE71" s="8"/>
      <c r="HF71" s="8"/>
      <c r="HG71" s="8"/>
      <c r="HH71" s="8"/>
      <c r="HI71" s="8"/>
      <c r="HJ71" s="8"/>
      <c r="HK71" s="8"/>
      <c r="HL71" s="8"/>
      <c r="HM71" s="8"/>
      <c r="HN71" s="8"/>
      <c r="HO71" s="8"/>
      <c r="HP71" s="8"/>
      <c r="HQ71" s="8"/>
      <c r="HR71" s="8"/>
      <c r="HS71" s="8"/>
      <c r="HT71" s="8"/>
      <c r="HU71" s="8"/>
      <c r="HV71" s="8"/>
      <c r="HW71" s="8"/>
      <c r="HX71" s="8"/>
      <c r="HY71" s="8"/>
      <c r="HZ71" s="8"/>
      <c r="IA71" s="8"/>
      <c r="IB71" s="8"/>
      <c r="IC71" s="8"/>
      <c r="ID71" s="8"/>
      <c r="IE71" s="8"/>
      <c r="IF71" s="8"/>
      <c r="IG71" s="8"/>
      <c r="IH71" s="8"/>
      <c r="II71" s="8"/>
      <c r="IJ71" s="8"/>
      <c r="IK71" s="8"/>
      <c r="IL71" s="8"/>
    </row>
    <row r="72" spans="1:246" x14ac:dyDescent="0.25">
      <c r="A72" s="152"/>
      <c r="B72" s="153" t="s">
        <v>154</v>
      </c>
      <c r="C72" s="61" t="s">
        <v>6</v>
      </c>
      <c r="D72" s="89">
        <f>'DONNÉES À ENTRER'!B35*'Grille de calculs - PROLIFIQUE'!D66</f>
        <v>375</v>
      </c>
      <c r="E72" s="90">
        <v>0</v>
      </c>
      <c r="F72" s="85"/>
      <c r="G72" s="26"/>
      <c r="H72" s="49"/>
      <c r="I72" s="50">
        <f>Tableau79569396144277[[#This Row],[Colonne4]]*Tableau79569396144277[[#This Row],[Agnelles32]]</f>
        <v>0</v>
      </c>
      <c r="J72" s="168"/>
      <c r="K72" s="184">
        <f>'DONNÉES À ENTRER'!D35*'Grille de calculs - PROLIFIQUE'!K66</f>
        <v>375</v>
      </c>
      <c r="L72" s="90">
        <v>0</v>
      </c>
      <c r="M72" s="91"/>
      <c r="N72" s="26"/>
      <c r="O72" s="21"/>
      <c r="P72" s="31">
        <f t="shared" si="2"/>
        <v>0</v>
      </c>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c r="DG72" s="8"/>
      <c r="DH72" s="8"/>
      <c r="DI72" s="8"/>
      <c r="DJ72" s="8"/>
      <c r="DK72" s="8"/>
      <c r="DL72" s="8"/>
      <c r="DM72" s="8"/>
      <c r="DN72" s="8"/>
      <c r="DO72" s="8"/>
      <c r="DP72" s="8"/>
      <c r="DQ72" s="8"/>
      <c r="DR72" s="8"/>
      <c r="DS72" s="8"/>
      <c r="DT72" s="8"/>
      <c r="DU72" s="8"/>
      <c r="DV72" s="8"/>
      <c r="DW72" s="8"/>
      <c r="DX72" s="8"/>
      <c r="DY72" s="8"/>
      <c r="DZ72" s="8"/>
      <c r="EA72" s="8"/>
      <c r="EB72" s="8"/>
      <c r="EC72" s="8"/>
      <c r="ED72" s="8"/>
      <c r="EE72" s="8"/>
      <c r="EF72" s="8"/>
      <c r="EG72" s="8"/>
      <c r="EH72" s="8"/>
      <c r="EI72" s="8"/>
      <c r="EJ72" s="8"/>
      <c r="EK72" s="8"/>
      <c r="EL72" s="8"/>
      <c r="EM72" s="8"/>
      <c r="EN72" s="8"/>
      <c r="EO72" s="8"/>
      <c r="EP72" s="8"/>
      <c r="EQ72" s="8"/>
      <c r="ER72" s="8"/>
      <c r="ES72" s="8"/>
      <c r="ET72" s="8"/>
      <c r="EU72" s="8"/>
      <c r="EV72" s="8"/>
      <c r="EW72" s="8"/>
      <c r="EX72" s="8"/>
      <c r="EY72" s="8"/>
      <c r="EZ72" s="8"/>
      <c r="FA72" s="8"/>
      <c r="FB72" s="8"/>
      <c r="FC72" s="8"/>
      <c r="FD72" s="8"/>
      <c r="FE72" s="8"/>
      <c r="FF72" s="8"/>
      <c r="FG72" s="8"/>
      <c r="FH72" s="8"/>
      <c r="FI72" s="8"/>
      <c r="FJ72" s="8"/>
      <c r="FK72" s="8"/>
      <c r="FL72" s="8"/>
      <c r="FM72" s="8"/>
      <c r="FN72" s="8"/>
      <c r="FO72" s="8"/>
      <c r="FP72" s="8"/>
      <c r="FQ72" s="8"/>
      <c r="FR72" s="8"/>
      <c r="FS72" s="8"/>
      <c r="FT72" s="8"/>
      <c r="FU72" s="8"/>
      <c r="FV72" s="8"/>
      <c r="FW72" s="8"/>
      <c r="FX72" s="8"/>
      <c r="FY72" s="8"/>
      <c r="FZ72" s="8"/>
      <c r="GA72" s="8"/>
      <c r="GB72" s="8"/>
      <c r="GC72" s="8"/>
      <c r="GD72" s="8"/>
      <c r="GE72" s="8"/>
      <c r="GF72" s="8"/>
      <c r="GG72" s="8"/>
      <c r="GH72" s="8"/>
      <c r="GI72" s="8"/>
      <c r="GJ72" s="8"/>
      <c r="GK72" s="8"/>
      <c r="GL72" s="8"/>
      <c r="GM72" s="8"/>
      <c r="GN72" s="8"/>
      <c r="GO72" s="8"/>
      <c r="GP72" s="8"/>
      <c r="GQ72" s="8"/>
      <c r="GR72" s="8"/>
      <c r="GS72" s="8"/>
      <c r="GT72" s="8"/>
      <c r="GU72" s="8"/>
      <c r="GV72" s="8"/>
      <c r="GW72" s="8"/>
      <c r="GX72" s="8"/>
      <c r="GY72" s="8"/>
      <c r="GZ72" s="8"/>
      <c r="HA72" s="8"/>
      <c r="HB72" s="8"/>
      <c r="HC72" s="8"/>
      <c r="HD72" s="8"/>
      <c r="HE72" s="8"/>
      <c r="HF72" s="8"/>
      <c r="HG72" s="8"/>
      <c r="HH72" s="8"/>
      <c r="HI72" s="8"/>
      <c r="HJ72" s="8"/>
      <c r="HK72" s="8"/>
      <c r="HL72" s="8"/>
      <c r="HM72" s="8"/>
      <c r="HN72" s="8"/>
      <c r="HO72" s="8"/>
      <c r="HP72" s="8"/>
      <c r="HQ72" s="8"/>
      <c r="HR72" s="8"/>
      <c r="HS72" s="8"/>
      <c r="HT72" s="8"/>
      <c r="HU72" s="8"/>
      <c r="HV72" s="8"/>
      <c r="HW72" s="8"/>
      <c r="HX72" s="8"/>
      <c r="HY72" s="8"/>
      <c r="HZ72" s="8"/>
      <c r="IA72" s="8"/>
      <c r="IB72" s="8"/>
      <c r="IC72" s="8"/>
      <c r="ID72" s="8"/>
      <c r="IE72" s="8"/>
      <c r="IF72" s="8"/>
      <c r="IG72" s="8"/>
      <c r="IH72" s="8"/>
      <c r="II72" s="8"/>
      <c r="IJ72" s="8"/>
      <c r="IK72" s="8"/>
      <c r="IL72" s="8"/>
    </row>
    <row r="73" spans="1:246" x14ac:dyDescent="0.25">
      <c r="A73" s="152"/>
      <c r="B73" s="153" t="s">
        <v>82</v>
      </c>
      <c r="C73" s="61" t="s">
        <v>6</v>
      </c>
      <c r="D73" s="89">
        <f>'DONNÉES À ENTRER'!B36*'Grille de calculs - PROLIFIQUE'!D66</f>
        <v>180</v>
      </c>
      <c r="E73" s="90">
        <f>'DONNÉES À ENTRER'!B36*'Grille de calculs - PROLIFIQUE'!E66</f>
        <v>948</v>
      </c>
      <c r="F73" s="85"/>
      <c r="G73" s="26"/>
      <c r="H73" s="49"/>
      <c r="I73" s="50">
        <f>Tableau79569396144277[[#This Row],[Colonne4]]*Tableau79569396144277[[#This Row],[Agnelles32]]</f>
        <v>0</v>
      </c>
      <c r="J73" s="168"/>
      <c r="K73" s="184">
        <f>'DONNÉES À ENTRER'!D36*'Grille de calculs - PROLIFIQUE'!K66</f>
        <v>180</v>
      </c>
      <c r="L73" s="90">
        <f>'DONNÉES À ENTRER'!D36*'Grille de calculs - PROLIFIQUE'!L66</f>
        <v>948</v>
      </c>
      <c r="M73" s="91"/>
      <c r="N73" s="26"/>
      <c r="O73" s="21"/>
      <c r="P73" s="31">
        <f t="shared" si="2"/>
        <v>0</v>
      </c>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J73" s="8"/>
      <c r="DK73" s="8"/>
      <c r="DL73" s="8"/>
      <c r="DM73" s="8"/>
      <c r="DN73" s="8"/>
      <c r="DO73" s="8"/>
      <c r="DP73" s="8"/>
      <c r="DQ73" s="8"/>
      <c r="DR73" s="8"/>
      <c r="DS73" s="8"/>
      <c r="DT73" s="8"/>
      <c r="DU73" s="8"/>
      <c r="DV73" s="8"/>
      <c r="DW73" s="8"/>
      <c r="DX73" s="8"/>
      <c r="DY73" s="8"/>
      <c r="DZ73" s="8"/>
      <c r="EA73" s="8"/>
      <c r="EB73" s="8"/>
      <c r="EC73" s="8"/>
      <c r="ED73" s="8"/>
      <c r="EE73" s="8"/>
      <c r="EF73" s="8"/>
      <c r="EG73" s="8"/>
      <c r="EH73" s="8"/>
      <c r="EI73" s="8"/>
      <c r="EJ73" s="8"/>
      <c r="EK73" s="8"/>
      <c r="EL73" s="8"/>
      <c r="EM73" s="8"/>
      <c r="EN73" s="8"/>
      <c r="EO73" s="8"/>
      <c r="EP73" s="8"/>
      <c r="EQ73" s="8"/>
      <c r="ER73" s="8"/>
      <c r="ES73" s="8"/>
      <c r="ET73" s="8"/>
      <c r="EU73" s="8"/>
      <c r="EV73" s="8"/>
      <c r="EW73" s="8"/>
      <c r="EX73" s="8"/>
      <c r="EY73" s="8"/>
      <c r="EZ73" s="8"/>
      <c r="FA73" s="8"/>
      <c r="FB73" s="8"/>
      <c r="FC73" s="8"/>
      <c r="FD73" s="8"/>
      <c r="FE73" s="8"/>
      <c r="FF73" s="8"/>
      <c r="FG73" s="8"/>
      <c r="FH73" s="8"/>
      <c r="FI73" s="8"/>
      <c r="FJ73" s="8"/>
      <c r="FK73" s="8"/>
      <c r="FL73" s="8"/>
      <c r="FM73" s="8"/>
      <c r="FN73" s="8"/>
      <c r="FO73" s="8"/>
      <c r="FP73" s="8"/>
      <c r="FQ73" s="8"/>
      <c r="FR73" s="8"/>
      <c r="FS73" s="8"/>
      <c r="FT73" s="8"/>
      <c r="FU73" s="8"/>
      <c r="FV73" s="8"/>
      <c r="FW73" s="8"/>
      <c r="FX73" s="8"/>
      <c r="FY73" s="8"/>
      <c r="FZ73" s="8"/>
      <c r="GA73" s="8"/>
      <c r="GB73" s="8"/>
      <c r="GC73" s="8"/>
      <c r="GD73" s="8"/>
      <c r="GE73" s="8"/>
      <c r="GF73" s="8"/>
      <c r="GG73" s="8"/>
      <c r="GH73" s="8"/>
      <c r="GI73" s="8"/>
      <c r="GJ73" s="8"/>
      <c r="GK73" s="8"/>
      <c r="GL73" s="8"/>
      <c r="GM73" s="8"/>
      <c r="GN73" s="8"/>
      <c r="GO73" s="8"/>
      <c r="GP73" s="8"/>
      <c r="GQ73" s="8"/>
      <c r="GR73" s="8"/>
      <c r="GS73" s="8"/>
      <c r="GT73" s="8"/>
      <c r="GU73" s="8"/>
      <c r="GV73" s="8"/>
      <c r="GW73" s="8"/>
      <c r="GX73" s="8"/>
      <c r="GY73" s="8"/>
      <c r="GZ73" s="8"/>
      <c r="HA73" s="8"/>
      <c r="HB73" s="8"/>
      <c r="HC73" s="8"/>
      <c r="HD73" s="8"/>
      <c r="HE73" s="8"/>
      <c r="HF73" s="8"/>
      <c r="HG73" s="8"/>
      <c r="HH73" s="8"/>
      <c r="HI73" s="8"/>
      <c r="HJ73" s="8"/>
      <c r="HK73" s="8"/>
      <c r="HL73" s="8"/>
      <c r="HM73" s="8"/>
      <c r="HN73" s="8"/>
      <c r="HO73" s="8"/>
      <c r="HP73" s="8"/>
      <c r="HQ73" s="8"/>
      <c r="HR73" s="8"/>
      <c r="HS73" s="8"/>
      <c r="HT73" s="8"/>
      <c r="HU73" s="8"/>
      <c r="HV73" s="8"/>
      <c r="HW73" s="8"/>
      <c r="HX73" s="8"/>
      <c r="HY73" s="8"/>
      <c r="HZ73" s="8"/>
      <c r="IA73" s="8"/>
      <c r="IB73" s="8"/>
      <c r="IC73" s="8"/>
      <c r="ID73" s="8"/>
      <c r="IE73" s="8"/>
      <c r="IF73" s="8"/>
      <c r="IG73" s="8"/>
      <c r="IH73" s="8"/>
      <c r="II73" s="8"/>
      <c r="IJ73" s="8"/>
      <c r="IK73" s="8"/>
      <c r="IL73" s="8"/>
    </row>
    <row r="74" spans="1:246" x14ac:dyDescent="0.25">
      <c r="A74" s="152"/>
      <c r="B74" s="156" t="s">
        <v>83</v>
      </c>
      <c r="C74" s="61" t="s">
        <v>6</v>
      </c>
      <c r="D74" s="89">
        <f>'DONNÉES À ENTRER'!B39*'Grille de calculs - PROLIFIQUE'!D66</f>
        <v>180</v>
      </c>
      <c r="E74" s="90">
        <f>'DONNÉES À ENTRER'!B39*'Grille de calculs - PROLIFIQUE'!E66</f>
        <v>948</v>
      </c>
      <c r="F74" s="85"/>
      <c r="G74" s="26"/>
      <c r="H74" s="49"/>
      <c r="I74" s="50">
        <f>Tableau79569396144277[[#This Row],[Colonne4]]*Tableau79569396144277[[#This Row],[Agnelles32]]</f>
        <v>0</v>
      </c>
      <c r="J74" s="168"/>
      <c r="K74" s="184">
        <f>'DONNÉES À ENTRER'!D39*'Grille de calculs - PROLIFIQUE'!K66</f>
        <v>180</v>
      </c>
      <c r="L74" s="90">
        <f>'DONNÉES À ENTRER'!D39*'Grille de calculs - PROLIFIQUE'!L66</f>
        <v>948</v>
      </c>
      <c r="M74" s="91"/>
      <c r="N74" s="26"/>
      <c r="O74" s="21"/>
      <c r="P74" s="31">
        <f t="shared" si="2"/>
        <v>0</v>
      </c>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c r="DG74" s="8"/>
      <c r="DH74" s="8"/>
      <c r="DI74" s="8"/>
      <c r="DJ74" s="8"/>
      <c r="DK74" s="8"/>
      <c r="DL74" s="8"/>
      <c r="DM74" s="8"/>
      <c r="DN74" s="8"/>
      <c r="DO74" s="8"/>
      <c r="DP74" s="8"/>
      <c r="DQ74" s="8"/>
      <c r="DR74" s="8"/>
      <c r="DS74" s="8"/>
      <c r="DT74" s="8"/>
      <c r="DU74" s="8"/>
      <c r="DV74" s="8"/>
      <c r="DW74" s="8"/>
      <c r="DX74" s="8"/>
      <c r="DY74" s="8"/>
      <c r="DZ74" s="8"/>
      <c r="EA74" s="8"/>
      <c r="EB74" s="8"/>
      <c r="EC74" s="8"/>
      <c r="ED74" s="8"/>
      <c r="EE74" s="8"/>
      <c r="EF74" s="8"/>
      <c r="EG74" s="8"/>
      <c r="EH74" s="8"/>
      <c r="EI74" s="8"/>
      <c r="EJ74" s="8"/>
      <c r="EK74" s="8"/>
      <c r="EL74" s="8"/>
      <c r="EM74" s="8"/>
      <c r="EN74" s="8"/>
      <c r="EO74" s="8"/>
      <c r="EP74" s="8"/>
      <c r="EQ74" s="8"/>
      <c r="ER74" s="8"/>
      <c r="ES74" s="8"/>
      <c r="ET74" s="8"/>
      <c r="EU74" s="8"/>
      <c r="EV74" s="8"/>
      <c r="EW74" s="8"/>
      <c r="EX74" s="8"/>
      <c r="EY74" s="8"/>
      <c r="EZ74" s="8"/>
      <c r="FA74" s="8"/>
      <c r="FB74" s="8"/>
      <c r="FC74" s="8"/>
      <c r="FD74" s="8"/>
      <c r="FE74" s="8"/>
      <c r="FF74" s="8"/>
      <c r="FG74" s="8"/>
      <c r="FH74" s="8"/>
      <c r="FI74" s="8"/>
      <c r="FJ74" s="8"/>
      <c r="FK74" s="8"/>
      <c r="FL74" s="8"/>
      <c r="FM74" s="8"/>
      <c r="FN74" s="8"/>
      <c r="FO74" s="8"/>
      <c r="FP74" s="8"/>
      <c r="FQ74" s="8"/>
      <c r="FR74" s="8"/>
      <c r="FS74" s="8"/>
      <c r="FT74" s="8"/>
      <c r="FU74" s="8"/>
      <c r="FV74" s="8"/>
      <c r="FW74" s="8"/>
      <c r="FX74" s="8"/>
      <c r="FY74" s="8"/>
      <c r="FZ74" s="8"/>
      <c r="GA74" s="8"/>
      <c r="GB74" s="8"/>
      <c r="GC74" s="8"/>
      <c r="GD74" s="8"/>
      <c r="GE74" s="8"/>
      <c r="GF74" s="8"/>
      <c r="GG74" s="8"/>
      <c r="GH74" s="8"/>
      <c r="GI74" s="8"/>
      <c r="GJ74" s="8"/>
      <c r="GK74" s="8"/>
      <c r="GL74" s="8"/>
      <c r="GM74" s="8"/>
      <c r="GN74" s="8"/>
      <c r="GO74" s="8"/>
      <c r="GP74" s="8"/>
      <c r="GQ74" s="8"/>
      <c r="GR74" s="8"/>
      <c r="GS74" s="8"/>
      <c r="GT74" s="8"/>
      <c r="GU74" s="8"/>
      <c r="GV74" s="8"/>
      <c r="GW74" s="8"/>
      <c r="GX74" s="8"/>
      <c r="GY74" s="8"/>
      <c r="GZ74" s="8"/>
      <c r="HA74" s="8"/>
      <c r="HB74" s="8"/>
      <c r="HC74" s="8"/>
      <c r="HD74" s="8"/>
      <c r="HE74" s="8"/>
      <c r="HF74" s="8"/>
      <c r="HG74" s="8"/>
      <c r="HH74" s="8"/>
      <c r="HI74" s="8"/>
      <c r="HJ74" s="8"/>
      <c r="HK74" s="8"/>
      <c r="HL74" s="8"/>
      <c r="HM74" s="8"/>
      <c r="HN74" s="8"/>
      <c r="HO74" s="8"/>
      <c r="HP74" s="8"/>
      <c r="HQ74" s="8"/>
      <c r="HR74" s="8"/>
      <c r="HS74" s="8"/>
      <c r="HT74" s="8"/>
      <c r="HU74" s="8"/>
      <c r="HV74" s="8"/>
      <c r="HW74" s="8"/>
      <c r="HX74" s="8"/>
      <c r="HY74" s="8"/>
      <c r="HZ74" s="8"/>
      <c r="IA74" s="8"/>
      <c r="IB74" s="8"/>
      <c r="IC74" s="8"/>
      <c r="ID74" s="8"/>
      <c r="IE74" s="8"/>
      <c r="IF74" s="8"/>
      <c r="IG74" s="8"/>
      <c r="IH74" s="8"/>
      <c r="II74" s="8"/>
      <c r="IJ74" s="8"/>
      <c r="IK74" s="8"/>
      <c r="IL74" s="8"/>
    </row>
    <row r="75" spans="1:246" x14ac:dyDescent="0.25">
      <c r="A75" s="152"/>
      <c r="B75" s="156" t="s">
        <v>225</v>
      </c>
      <c r="C75" s="61" t="s">
        <v>6</v>
      </c>
      <c r="D75" s="89">
        <f>+'DONNÉES À ENTRER'!B40/2</f>
        <v>250</v>
      </c>
      <c r="E75" s="90">
        <f>+'DONNÉES À ENTRER'!B40/2</f>
        <v>250</v>
      </c>
      <c r="F75" s="85"/>
      <c r="G75" s="26"/>
      <c r="H75" s="49"/>
      <c r="I75" s="50">
        <f>Tableau79569396144277[[#This Row],[Colonne4]]*Tableau79569396144277[[#This Row],[Agnelles32]]</f>
        <v>0</v>
      </c>
      <c r="J75" s="168"/>
      <c r="K75" s="184">
        <f>+'DONNÉES À ENTRER'!D40/2</f>
        <v>250</v>
      </c>
      <c r="L75" s="90">
        <f>+'DONNÉES À ENTRER'!D40/2</f>
        <v>250</v>
      </c>
      <c r="M75" s="91"/>
      <c r="N75" s="26"/>
      <c r="O75" s="21"/>
      <c r="P75" s="31">
        <f t="shared" si="2"/>
        <v>0</v>
      </c>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c r="DG75" s="8"/>
      <c r="DH75" s="8"/>
      <c r="DI75" s="8"/>
      <c r="DJ75" s="8"/>
      <c r="DK75" s="8"/>
      <c r="DL75" s="8"/>
      <c r="DM75" s="8"/>
      <c r="DN75" s="8"/>
      <c r="DO75" s="8"/>
      <c r="DP75" s="8"/>
      <c r="DQ75" s="8"/>
      <c r="DR75" s="8"/>
      <c r="DS75" s="8"/>
      <c r="DT75" s="8"/>
      <c r="DU75" s="8"/>
      <c r="DV75" s="8"/>
      <c r="DW75" s="8"/>
      <c r="DX75" s="8"/>
      <c r="DY75" s="8"/>
      <c r="DZ75" s="8"/>
      <c r="EA75" s="8"/>
      <c r="EB75" s="8"/>
      <c r="EC75" s="8"/>
      <c r="ED75" s="8"/>
      <c r="EE75" s="8"/>
      <c r="EF75" s="8"/>
      <c r="EG75" s="8"/>
      <c r="EH75" s="8"/>
      <c r="EI75" s="8"/>
      <c r="EJ75" s="8"/>
      <c r="EK75" s="8"/>
      <c r="EL75" s="8"/>
      <c r="EM75" s="8"/>
      <c r="EN75" s="8"/>
      <c r="EO75" s="8"/>
      <c r="EP75" s="8"/>
      <c r="EQ75" s="8"/>
      <c r="ER75" s="8"/>
      <c r="ES75" s="8"/>
      <c r="ET75" s="8"/>
      <c r="EU75" s="8"/>
      <c r="EV75" s="8"/>
      <c r="EW75" s="8"/>
      <c r="EX75" s="8"/>
      <c r="EY75" s="8"/>
      <c r="EZ75" s="8"/>
      <c r="FA75" s="8"/>
      <c r="FB75" s="8"/>
      <c r="FC75" s="8"/>
      <c r="FD75" s="8"/>
      <c r="FE75" s="8"/>
      <c r="FF75" s="8"/>
      <c r="FG75" s="8"/>
      <c r="FH75" s="8"/>
      <c r="FI75" s="8"/>
      <c r="FJ75" s="8"/>
      <c r="FK75" s="8"/>
      <c r="FL75" s="8"/>
      <c r="FM75" s="8"/>
      <c r="FN75" s="8"/>
      <c r="FO75" s="8"/>
      <c r="FP75" s="8"/>
      <c r="FQ75" s="8"/>
      <c r="FR75" s="8"/>
      <c r="FS75" s="8"/>
      <c r="FT75" s="8"/>
      <c r="FU75" s="8"/>
      <c r="FV75" s="8"/>
      <c r="FW75" s="8"/>
      <c r="FX75" s="8"/>
      <c r="FY75" s="8"/>
      <c r="FZ75" s="8"/>
      <c r="GA75" s="8"/>
      <c r="GB75" s="8"/>
      <c r="GC75" s="8"/>
      <c r="GD75" s="8"/>
      <c r="GE75" s="8"/>
      <c r="GF75" s="8"/>
      <c r="GG75" s="8"/>
      <c r="GH75" s="8"/>
      <c r="GI75" s="8"/>
      <c r="GJ75" s="8"/>
      <c r="GK75" s="8"/>
      <c r="GL75" s="8"/>
      <c r="GM75" s="8"/>
      <c r="GN75" s="8"/>
      <c r="GO75" s="8"/>
      <c r="GP75" s="8"/>
      <c r="GQ75" s="8"/>
      <c r="GR75" s="8"/>
      <c r="GS75" s="8"/>
      <c r="GT75" s="8"/>
      <c r="GU75" s="8"/>
      <c r="GV75" s="8"/>
      <c r="GW75" s="8"/>
      <c r="GX75" s="8"/>
      <c r="GY75" s="8"/>
      <c r="GZ75" s="8"/>
      <c r="HA75" s="8"/>
      <c r="HB75" s="8"/>
      <c r="HC75" s="8"/>
      <c r="HD75" s="8"/>
      <c r="HE75" s="8"/>
      <c r="HF75" s="8"/>
      <c r="HG75" s="8"/>
      <c r="HH75" s="8"/>
      <c r="HI75" s="8"/>
      <c r="HJ75" s="8"/>
      <c r="HK75" s="8"/>
      <c r="HL75" s="8"/>
      <c r="HM75" s="8"/>
      <c r="HN75" s="8"/>
      <c r="HO75" s="8"/>
      <c r="HP75" s="8"/>
      <c r="HQ75" s="8"/>
      <c r="HR75" s="8"/>
      <c r="HS75" s="8"/>
      <c r="HT75" s="8"/>
      <c r="HU75" s="8"/>
      <c r="HV75" s="8"/>
      <c r="HW75" s="8"/>
      <c r="HX75" s="8"/>
      <c r="HY75" s="8"/>
      <c r="HZ75" s="8"/>
      <c r="IA75" s="8"/>
      <c r="IB75" s="8"/>
      <c r="IC75" s="8"/>
      <c r="ID75" s="8"/>
      <c r="IE75" s="8"/>
      <c r="IF75" s="8"/>
      <c r="IG75" s="8"/>
      <c r="IH75" s="8"/>
      <c r="II75" s="8"/>
      <c r="IJ75" s="8"/>
      <c r="IK75" s="8"/>
      <c r="IL75" s="8"/>
    </row>
    <row r="76" spans="1:246" x14ac:dyDescent="0.25">
      <c r="A76" s="240"/>
      <c r="B76" s="258" t="s">
        <v>218</v>
      </c>
      <c r="C76" s="250" t="s">
        <v>6</v>
      </c>
      <c r="D76" s="233">
        <f>+D45*290*'DONNÉES À ENTRER'!B41</f>
        <v>783</v>
      </c>
      <c r="E76" s="234">
        <f>+E45*168*'DONNÉES À ENTRER'!B41</f>
        <v>2388.96</v>
      </c>
      <c r="F76" s="235">
        <f>('DONNÉES À ENTRER'!J64*(7*30.5)*0.18)+('DONNÉES À ENTRER'!J66*(4*30.5)*0.18)</f>
        <v>60.39</v>
      </c>
      <c r="G76" s="244">
        <f>G63</f>
        <v>0.5</v>
      </c>
      <c r="H76" s="245">
        <f>1-Tableau79569396144277[[#This Row],[Agnelles32]]</f>
        <v>0.5</v>
      </c>
      <c r="I76" s="246">
        <f>Tableau79569396144277[[#This Row],[Colonne4]]*Tableau79569396144277[[#This Row],[Agnelles32]]</f>
        <v>30.195</v>
      </c>
      <c r="J76" s="168"/>
      <c r="K76" s="239">
        <f>+K45*290*'DONNÉES À ENTRER'!D41</f>
        <v>783</v>
      </c>
      <c r="L76" s="234">
        <f>+L45*168*'DONNÉES À ENTRER'!D41</f>
        <v>2388.96</v>
      </c>
      <c r="M76" s="235">
        <f>('DONNÉES À ENTRER'!L64*(7*30.5)*0.18)+('DONNÉES À ENTRER'!L66*(4*30.5)*0.18)</f>
        <v>60.39</v>
      </c>
      <c r="N76" s="45">
        <f>N63</f>
        <v>0.5</v>
      </c>
      <c r="O76" s="507">
        <f>1-N76</f>
        <v>0.5</v>
      </c>
      <c r="P76" s="31">
        <f t="shared" si="2"/>
        <v>30.195</v>
      </c>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c r="DG76" s="8"/>
      <c r="DH76" s="8"/>
      <c r="DI76" s="8"/>
      <c r="DJ76" s="8"/>
      <c r="DK76" s="8"/>
      <c r="DL76" s="8"/>
      <c r="DM76" s="8"/>
      <c r="DN76" s="8"/>
      <c r="DO76" s="8"/>
      <c r="DP76" s="8"/>
      <c r="DQ76" s="8"/>
      <c r="DR76" s="8"/>
      <c r="DS76" s="8"/>
      <c r="DT76" s="8"/>
      <c r="DU76" s="8"/>
      <c r="DV76" s="8"/>
      <c r="DW76" s="8"/>
      <c r="DX76" s="8"/>
      <c r="DY76" s="8"/>
      <c r="DZ76" s="8"/>
      <c r="EA76" s="8"/>
      <c r="EB76" s="8"/>
      <c r="EC76" s="8"/>
      <c r="ED76" s="8"/>
      <c r="EE76" s="8"/>
      <c r="EF76" s="8"/>
      <c r="EG76" s="8"/>
      <c r="EH76" s="8"/>
      <c r="EI76" s="8"/>
      <c r="EJ76" s="8"/>
      <c r="EK76" s="8"/>
      <c r="EL76" s="8"/>
      <c r="EM76" s="8"/>
      <c r="EN76" s="8"/>
      <c r="EO76" s="8"/>
      <c r="EP76" s="8"/>
      <c r="EQ76" s="8"/>
      <c r="ER76" s="8"/>
      <c r="ES76" s="8"/>
      <c r="ET76" s="8"/>
      <c r="EU76" s="8"/>
      <c r="EV76" s="8"/>
      <c r="EW76" s="8"/>
      <c r="EX76" s="8"/>
      <c r="EY76" s="8"/>
      <c r="EZ76" s="8"/>
      <c r="FA76" s="8"/>
      <c r="FB76" s="8"/>
      <c r="FC76" s="8"/>
      <c r="FD76" s="8"/>
      <c r="FE76" s="8"/>
      <c r="FF76" s="8"/>
      <c r="FG76" s="8"/>
      <c r="FH76" s="8"/>
      <c r="FI76" s="8"/>
      <c r="FJ76" s="8"/>
      <c r="FK76" s="8"/>
      <c r="FL76" s="8"/>
      <c r="FM76" s="8"/>
      <c r="FN76" s="8"/>
      <c r="FO76" s="8"/>
      <c r="FP76" s="8"/>
      <c r="FQ76" s="8"/>
      <c r="FR76" s="8"/>
      <c r="FS76" s="8"/>
      <c r="FT76" s="8"/>
      <c r="FU76" s="8"/>
      <c r="FV76" s="8"/>
      <c r="FW76" s="8"/>
      <c r="FX76" s="8"/>
      <c r="FY76" s="8"/>
      <c r="FZ76" s="8"/>
      <c r="GA76" s="8"/>
      <c r="GB76" s="8"/>
      <c r="GC76" s="8"/>
      <c r="GD76" s="8"/>
      <c r="GE76" s="8"/>
      <c r="GF76" s="8"/>
      <c r="GG76" s="8"/>
      <c r="GH76" s="8"/>
      <c r="GI76" s="8"/>
      <c r="GJ76" s="8"/>
      <c r="GK76" s="8"/>
      <c r="GL76" s="8"/>
      <c r="GM76" s="8"/>
      <c r="GN76" s="8"/>
      <c r="GO76" s="8"/>
      <c r="GP76" s="8"/>
      <c r="GQ76" s="8"/>
      <c r="GR76" s="8"/>
      <c r="GS76" s="8"/>
      <c r="GT76" s="8"/>
      <c r="GU76" s="8"/>
      <c r="GV76" s="8"/>
      <c r="GW76" s="8"/>
      <c r="GX76" s="8"/>
      <c r="GY76" s="8"/>
      <c r="GZ76" s="8"/>
      <c r="HA76" s="8"/>
      <c r="HB76" s="8"/>
      <c r="HC76" s="8"/>
      <c r="HD76" s="8"/>
      <c r="HE76" s="8"/>
      <c r="HF76" s="8"/>
      <c r="HG76" s="8"/>
      <c r="HH76" s="8"/>
      <c r="HI76" s="8"/>
      <c r="HJ76" s="8"/>
      <c r="HK76" s="8"/>
      <c r="HL76" s="8"/>
      <c r="HM76" s="8"/>
      <c r="HN76" s="8"/>
      <c r="HO76" s="8"/>
      <c r="HP76" s="8"/>
      <c r="HQ76" s="8"/>
      <c r="HR76" s="8"/>
      <c r="HS76" s="8"/>
      <c r="HT76" s="8"/>
      <c r="HU76" s="8"/>
      <c r="HV76" s="8"/>
      <c r="HW76" s="8"/>
      <c r="HX76" s="8"/>
      <c r="HY76" s="8"/>
      <c r="HZ76" s="8"/>
      <c r="IA76" s="8"/>
      <c r="IB76" s="8"/>
      <c r="IC76" s="8"/>
      <c r="ID76" s="8"/>
      <c r="IE76" s="8"/>
      <c r="IF76" s="8"/>
      <c r="IG76" s="8"/>
      <c r="IH76" s="8"/>
      <c r="II76" s="8"/>
      <c r="IJ76" s="8"/>
      <c r="IK76" s="8"/>
      <c r="IL76" s="8"/>
    </row>
    <row r="77" spans="1:246" x14ac:dyDescent="0.25">
      <c r="A77" s="419" t="s">
        <v>219</v>
      </c>
      <c r="B77" s="260" t="s">
        <v>9</v>
      </c>
      <c r="C77" s="261"/>
      <c r="D77" s="262">
        <f>('DONNÉES À ENTRER'!B5*'DONNÉES À ENTRER'!B54)/(D45+E45+F45)*D45</f>
        <v>215.35331167499987</v>
      </c>
      <c r="E77" s="263">
        <f>('DONNÉES À ENTRER'!B5*'DONNÉES À ENTRER'!B54)/(D45+E45+F45)*E45</f>
        <v>1134.1941081549992</v>
      </c>
      <c r="F77" s="264">
        <f>('DONNÉES À ENTRER'!B5*'DONNÉES À ENTRER'!B54)/(D45+E45+F45)*F45</f>
        <v>28.713774889999982</v>
      </c>
      <c r="G77" s="265">
        <f>+G76</f>
        <v>0.5</v>
      </c>
      <c r="H77" s="266">
        <f>1-Tableau79569396144277[[#This Row],[Agnelles32]]</f>
        <v>0.5</v>
      </c>
      <c r="I77" s="267">
        <f>Tableau79569396144277[[#This Row],[Colonne4]]*Tableau79569396144277[[#This Row],[Agnelles32]]</f>
        <v>14.356887444999991</v>
      </c>
      <c r="J77" s="168"/>
      <c r="K77" s="268">
        <f>('DONNÉES À ENTRER'!D5*'DONNÉES À ENTRER'!D54)/(K45+L45+M45)*K45</f>
        <v>215.35331167499987</v>
      </c>
      <c r="L77" s="263">
        <f>('DONNÉES À ENTRER'!D5*'DONNÉES À ENTRER'!D54)/(K45+L45+M45)*L45</f>
        <v>1134.1941081549992</v>
      </c>
      <c r="M77" s="264">
        <f>('DONNÉES À ENTRER'!D5*'DONNÉES À ENTRER'!D54)/(K45+L45+M45)*M45</f>
        <v>28.713774889999982</v>
      </c>
      <c r="N77" s="45">
        <f>+N76</f>
        <v>0.5</v>
      </c>
      <c r="O77" s="507">
        <f>1-N77</f>
        <v>0.5</v>
      </c>
      <c r="P77" s="31">
        <f t="shared" si="2"/>
        <v>14.356887444999991</v>
      </c>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c r="DG77" s="8"/>
      <c r="DH77" s="8"/>
      <c r="DI77" s="8"/>
      <c r="DJ77" s="8"/>
      <c r="DK77" s="8"/>
      <c r="DL77" s="8"/>
      <c r="DM77" s="8"/>
      <c r="DN77" s="8"/>
      <c r="DO77" s="8"/>
      <c r="DP77" s="8"/>
      <c r="DQ77" s="8"/>
      <c r="DR77" s="8"/>
      <c r="DS77" s="8"/>
      <c r="DT77" s="8"/>
      <c r="DU77" s="8"/>
      <c r="DV77" s="8"/>
      <c r="DW77" s="8"/>
      <c r="DX77" s="8"/>
      <c r="DY77" s="8"/>
      <c r="DZ77" s="8"/>
      <c r="EA77" s="8"/>
      <c r="EB77" s="8"/>
      <c r="EC77" s="8"/>
      <c r="ED77" s="8"/>
      <c r="EE77" s="8"/>
      <c r="EF77" s="8"/>
      <c r="EG77" s="8"/>
      <c r="EH77" s="8"/>
      <c r="EI77" s="8"/>
      <c r="EJ77" s="8"/>
      <c r="EK77" s="8"/>
      <c r="EL77" s="8"/>
      <c r="EM77" s="8"/>
      <c r="EN77" s="8"/>
      <c r="EO77" s="8"/>
      <c r="EP77" s="8"/>
      <c r="EQ77" s="8"/>
      <c r="ER77" s="8"/>
      <c r="ES77" s="8"/>
      <c r="ET77" s="8"/>
      <c r="EU77" s="8"/>
      <c r="EV77" s="8"/>
      <c r="EW77" s="8"/>
      <c r="EX77" s="8"/>
      <c r="EY77" s="8"/>
      <c r="EZ77" s="8"/>
      <c r="FA77" s="8"/>
      <c r="FB77" s="8"/>
      <c r="FC77" s="8"/>
      <c r="FD77" s="8"/>
      <c r="FE77" s="8"/>
      <c r="FF77" s="8"/>
      <c r="FG77" s="8"/>
      <c r="FH77" s="8"/>
      <c r="FI77" s="8"/>
      <c r="FJ77" s="8"/>
      <c r="FK77" s="8"/>
      <c r="FL77" s="8"/>
      <c r="FM77" s="8"/>
      <c r="FN77" s="8"/>
      <c r="FO77" s="8"/>
      <c r="FP77" s="8"/>
      <c r="FQ77" s="8"/>
      <c r="FR77" s="8"/>
      <c r="FS77" s="8"/>
      <c r="FT77" s="8"/>
      <c r="FU77" s="8"/>
      <c r="FV77" s="8"/>
      <c r="FW77" s="8"/>
      <c r="FX77" s="8"/>
      <c r="FY77" s="8"/>
      <c r="FZ77" s="8"/>
      <c r="GA77" s="8"/>
      <c r="GB77" s="8"/>
      <c r="GC77" s="8"/>
      <c r="GD77" s="8"/>
      <c r="GE77" s="8"/>
      <c r="GF77" s="8"/>
      <c r="GG77" s="8"/>
      <c r="GH77" s="8"/>
      <c r="GI77" s="8"/>
      <c r="GJ77" s="8"/>
      <c r="GK77" s="8"/>
      <c r="GL77" s="8"/>
      <c r="GM77" s="8"/>
      <c r="GN77" s="8"/>
      <c r="GO77" s="8"/>
      <c r="GP77" s="8"/>
      <c r="GQ77" s="8"/>
      <c r="GR77" s="8"/>
      <c r="GS77" s="8"/>
      <c r="GT77" s="8"/>
      <c r="GU77" s="8"/>
      <c r="GV77" s="8"/>
      <c r="GW77" s="8"/>
      <c r="GX77" s="8"/>
      <c r="GY77" s="8"/>
      <c r="GZ77" s="8"/>
      <c r="HA77" s="8"/>
      <c r="HB77" s="8"/>
      <c r="HC77" s="8"/>
      <c r="HD77" s="8"/>
      <c r="HE77" s="8"/>
      <c r="HF77" s="8"/>
      <c r="HG77" s="8"/>
      <c r="HH77" s="8"/>
      <c r="HI77" s="8"/>
      <c r="HJ77" s="8"/>
      <c r="HK77" s="8"/>
      <c r="HL77" s="8"/>
      <c r="HM77" s="8"/>
      <c r="HN77" s="8"/>
      <c r="HO77" s="8"/>
      <c r="HP77" s="8"/>
      <c r="HQ77" s="8"/>
      <c r="HR77" s="8"/>
      <c r="HS77" s="8"/>
      <c r="HT77" s="8"/>
      <c r="HU77" s="8"/>
      <c r="HV77" s="8"/>
      <c r="HW77" s="8"/>
      <c r="HX77" s="8"/>
      <c r="HY77" s="8"/>
      <c r="HZ77" s="8"/>
      <c r="IA77" s="8"/>
      <c r="IB77" s="8"/>
      <c r="IC77" s="8"/>
      <c r="ID77" s="8"/>
      <c r="IE77" s="8"/>
      <c r="IF77" s="8"/>
      <c r="IG77" s="8"/>
      <c r="IH77" s="8"/>
      <c r="II77" s="8"/>
      <c r="IJ77" s="8"/>
      <c r="IK77" s="8"/>
      <c r="IL77" s="8"/>
    </row>
    <row r="78" spans="1:246" ht="10.5" customHeight="1" x14ac:dyDescent="0.25">
      <c r="A78" s="152"/>
      <c r="B78" s="148"/>
      <c r="C78" s="61"/>
      <c r="D78" s="89"/>
      <c r="E78" s="90"/>
      <c r="F78" s="91"/>
      <c r="G78" s="45"/>
      <c r="H78" s="204"/>
      <c r="I78" s="51">
        <f>Tableau79569396144277[[#This Row],[Colonne4]]*Tableau79569396144277[[#This Row],[Agnelles32]]</f>
        <v>0</v>
      </c>
      <c r="J78" s="168"/>
      <c r="K78" s="184"/>
      <c r="L78" s="90"/>
      <c r="M78" s="91"/>
      <c r="N78" s="45"/>
      <c r="O78" s="507"/>
      <c r="P78" s="31"/>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c r="DG78" s="8"/>
      <c r="DH78" s="8"/>
      <c r="DI78" s="8"/>
      <c r="DJ78" s="8"/>
      <c r="DK78" s="8"/>
      <c r="DL78" s="8"/>
      <c r="DM78" s="8"/>
      <c r="DN78" s="8"/>
      <c r="DO78" s="8"/>
      <c r="DP78" s="8"/>
      <c r="DQ78" s="8"/>
      <c r="DR78" s="8"/>
      <c r="DS78" s="8"/>
      <c r="DT78" s="8"/>
      <c r="DU78" s="8"/>
      <c r="DV78" s="8"/>
      <c r="DW78" s="8"/>
      <c r="DX78" s="8"/>
      <c r="DY78" s="8"/>
      <c r="DZ78" s="8"/>
      <c r="EA78" s="8"/>
      <c r="EB78" s="8"/>
      <c r="EC78" s="8"/>
      <c r="ED78" s="8"/>
      <c r="EE78" s="8"/>
      <c r="EF78" s="8"/>
      <c r="EG78" s="8"/>
      <c r="EH78" s="8"/>
      <c r="EI78" s="8"/>
      <c r="EJ78" s="8"/>
      <c r="EK78" s="8"/>
      <c r="EL78" s="8"/>
      <c r="EM78" s="8"/>
      <c r="EN78" s="8"/>
      <c r="EO78" s="8"/>
      <c r="EP78" s="8"/>
      <c r="EQ78" s="8"/>
      <c r="ER78" s="8"/>
      <c r="ES78" s="8"/>
      <c r="ET78" s="8"/>
      <c r="EU78" s="8"/>
      <c r="EV78" s="8"/>
      <c r="EW78" s="8"/>
      <c r="EX78" s="8"/>
      <c r="EY78" s="8"/>
      <c r="EZ78" s="8"/>
      <c r="FA78" s="8"/>
      <c r="FB78" s="8"/>
      <c r="FC78" s="8"/>
      <c r="FD78" s="8"/>
      <c r="FE78" s="8"/>
      <c r="FF78" s="8"/>
      <c r="FG78" s="8"/>
      <c r="FH78" s="8"/>
      <c r="FI78" s="8"/>
      <c r="FJ78" s="8"/>
      <c r="FK78" s="8"/>
      <c r="FL78" s="8"/>
      <c r="FM78" s="8"/>
      <c r="FN78" s="8"/>
      <c r="FO78" s="8"/>
      <c r="FP78" s="8"/>
      <c r="FQ78" s="8"/>
      <c r="FR78" s="8"/>
      <c r="FS78" s="8"/>
      <c r="FT78" s="8"/>
      <c r="FU78" s="8"/>
      <c r="FV78" s="8"/>
      <c r="FW78" s="8"/>
      <c r="FX78" s="8"/>
      <c r="FY78" s="8"/>
      <c r="FZ78" s="8"/>
      <c r="GA78" s="8"/>
      <c r="GB78" s="8"/>
      <c r="GC78" s="8"/>
      <c r="GD78" s="8"/>
      <c r="GE78" s="8"/>
      <c r="GF78" s="8"/>
      <c r="GG78" s="8"/>
      <c r="GH78" s="8"/>
      <c r="GI78" s="8"/>
      <c r="GJ78" s="8"/>
      <c r="GK78" s="8"/>
      <c r="GL78" s="8"/>
      <c r="GM78" s="8"/>
      <c r="GN78" s="8"/>
      <c r="GO78" s="8"/>
      <c r="GP78" s="8"/>
      <c r="GQ78" s="8"/>
      <c r="GR78" s="8"/>
      <c r="GS78" s="8"/>
      <c r="GT78" s="8"/>
      <c r="GU78" s="8"/>
      <c r="GV78" s="8"/>
      <c r="GW78" s="8"/>
      <c r="GX78" s="8"/>
      <c r="GY78" s="8"/>
      <c r="GZ78" s="8"/>
      <c r="HA78" s="8"/>
      <c r="HB78" s="8"/>
      <c r="HC78" s="8"/>
      <c r="HD78" s="8"/>
      <c r="HE78" s="8"/>
      <c r="HF78" s="8"/>
      <c r="HG78" s="8"/>
      <c r="HH78" s="8"/>
      <c r="HI78" s="8"/>
      <c r="HJ78" s="8"/>
      <c r="HK78" s="8"/>
      <c r="HL78" s="8"/>
      <c r="HM78" s="8"/>
      <c r="HN78" s="8"/>
      <c r="HO78" s="8"/>
      <c r="HP78" s="8"/>
      <c r="HQ78" s="8"/>
      <c r="HR78" s="8"/>
      <c r="HS78" s="8"/>
      <c r="HT78" s="8"/>
      <c r="HU78" s="8"/>
      <c r="HV78" s="8"/>
      <c r="HW78" s="8"/>
      <c r="HX78" s="8"/>
      <c r="HY78" s="8"/>
      <c r="HZ78" s="8"/>
      <c r="IA78" s="8"/>
      <c r="IB78" s="8"/>
      <c r="IC78" s="8"/>
      <c r="ID78" s="8"/>
      <c r="IE78" s="8"/>
      <c r="IF78" s="8"/>
      <c r="IG78" s="8"/>
      <c r="IH78" s="8"/>
      <c r="II78" s="8"/>
      <c r="IJ78" s="8"/>
      <c r="IK78" s="8"/>
      <c r="IL78" s="8"/>
    </row>
    <row r="79" spans="1:246" s="4" customFormat="1" ht="9" customHeight="1" x14ac:dyDescent="0.25">
      <c r="A79" s="420"/>
      <c r="B79" s="175"/>
      <c r="C79" s="176"/>
      <c r="D79" s="128"/>
      <c r="E79" s="129"/>
      <c r="F79" s="130"/>
      <c r="G79" s="41"/>
      <c r="H79" s="50"/>
      <c r="I79" s="50">
        <f>Tableau79569396144277[[#This Row],[Colonne4]]*Tableau79569396144277[[#This Row],[Agnelles32]]</f>
        <v>0</v>
      </c>
      <c r="J79" s="168"/>
      <c r="K79" s="199"/>
      <c r="L79" s="129"/>
      <c r="M79" s="130"/>
      <c r="N79" s="41"/>
      <c r="O79" s="50"/>
      <c r="P79" s="50">
        <f>Tableau79569396144277[[#This Row],[Colonne4]]*Tableau79569396144277[[#This Row],[Agnelles32]]</f>
        <v>0</v>
      </c>
      <c r="Q79" s="177"/>
      <c r="R79" s="177"/>
      <c r="S79" s="177"/>
      <c r="T79" s="177"/>
      <c r="U79" s="177"/>
      <c r="V79" s="177"/>
      <c r="W79" s="177"/>
      <c r="X79" s="177"/>
      <c r="Y79" s="177"/>
      <c r="Z79" s="177"/>
      <c r="AA79" s="177"/>
      <c r="AB79" s="177"/>
      <c r="AC79" s="177"/>
      <c r="AD79" s="177"/>
      <c r="AE79" s="177"/>
      <c r="AF79" s="177"/>
      <c r="AG79" s="177"/>
      <c r="AH79" s="177"/>
      <c r="AI79" s="177"/>
      <c r="AJ79" s="177"/>
      <c r="AK79" s="177"/>
      <c r="AL79" s="177"/>
      <c r="AM79" s="177"/>
      <c r="AN79" s="177"/>
      <c r="AO79" s="177"/>
      <c r="AP79" s="177"/>
      <c r="AQ79" s="177"/>
      <c r="AR79" s="177"/>
      <c r="AS79" s="177"/>
      <c r="AT79" s="177"/>
      <c r="AU79" s="177"/>
      <c r="AV79" s="177"/>
      <c r="AW79" s="177"/>
      <c r="AX79" s="177"/>
      <c r="AY79" s="177"/>
      <c r="AZ79" s="177"/>
      <c r="BA79" s="177"/>
      <c r="BB79" s="177"/>
      <c r="BC79" s="177"/>
      <c r="BD79" s="177"/>
      <c r="BE79" s="177"/>
      <c r="BF79" s="177"/>
      <c r="BG79" s="177"/>
      <c r="BH79" s="177"/>
      <c r="BI79" s="177"/>
      <c r="BJ79" s="177"/>
      <c r="BK79" s="177"/>
      <c r="BL79" s="177"/>
      <c r="BM79" s="177"/>
      <c r="BN79" s="177"/>
      <c r="BO79" s="177"/>
      <c r="BP79" s="177"/>
      <c r="BQ79" s="177"/>
      <c r="BR79" s="177"/>
      <c r="BS79" s="177"/>
      <c r="BT79" s="177"/>
      <c r="BU79" s="177"/>
      <c r="BV79" s="177"/>
      <c r="BW79" s="177"/>
      <c r="BX79" s="177"/>
      <c r="BY79" s="177"/>
      <c r="BZ79" s="177"/>
      <c r="CA79" s="177"/>
      <c r="CB79" s="177"/>
      <c r="CC79" s="177"/>
      <c r="CD79" s="177"/>
      <c r="CE79" s="177"/>
      <c r="CF79" s="177"/>
      <c r="CG79" s="177"/>
      <c r="CH79" s="177"/>
      <c r="CI79" s="177"/>
      <c r="CJ79" s="177"/>
      <c r="CK79" s="177"/>
      <c r="CL79" s="177"/>
      <c r="CM79" s="177"/>
      <c r="CN79" s="177"/>
      <c r="CO79" s="177"/>
      <c r="CP79" s="177"/>
      <c r="CQ79" s="177"/>
      <c r="CR79" s="177"/>
      <c r="CS79" s="177"/>
      <c r="CT79" s="177"/>
      <c r="CU79" s="177"/>
      <c r="CV79" s="177"/>
      <c r="CW79" s="177"/>
      <c r="CX79" s="177"/>
      <c r="CY79" s="177"/>
      <c r="CZ79" s="177"/>
      <c r="DA79" s="177"/>
      <c r="DB79" s="177"/>
      <c r="DC79" s="177"/>
      <c r="DD79" s="177"/>
      <c r="DE79" s="177"/>
      <c r="DF79" s="177"/>
      <c r="DG79" s="177"/>
      <c r="DH79" s="177"/>
      <c r="DI79" s="177"/>
      <c r="DJ79" s="177"/>
      <c r="DK79" s="177"/>
      <c r="DL79" s="177"/>
      <c r="DM79" s="177"/>
      <c r="DN79" s="177"/>
      <c r="DO79" s="177"/>
      <c r="DP79" s="177"/>
      <c r="DQ79" s="177"/>
      <c r="DR79" s="177"/>
      <c r="DS79" s="177"/>
      <c r="DT79" s="177"/>
      <c r="DU79" s="177"/>
      <c r="DV79" s="177"/>
      <c r="DW79" s="177"/>
      <c r="DX79" s="177"/>
      <c r="DY79" s="177"/>
      <c r="DZ79" s="177"/>
      <c r="EA79" s="177"/>
      <c r="EB79" s="177"/>
      <c r="EC79" s="177"/>
      <c r="ED79" s="177"/>
      <c r="EE79" s="177"/>
      <c r="EF79" s="177"/>
      <c r="EG79" s="177"/>
      <c r="EH79" s="177"/>
      <c r="EI79" s="177"/>
      <c r="EJ79" s="177"/>
      <c r="EK79" s="177"/>
      <c r="EL79" s="177"/>
      <c r="EM79" s="177"/>
      <c r="EN79" s="177"/>
      <c r="EO79" s="177"/>
      <c r="EP79" s="177"/>
      <c r="EQ79" s="177"/>
      <c r="ER79" s="177"/>
      <c r="ES79" s="177"/>
      <c r="ET79" s="177"/>
      <c r="EU79" s="177"/>
      <c r="EV79" s="177"/>
      <c r="EW79" s="177"/>
      <c r="EX79" s="177"/>
      <c r="EY79" s="177"/>
      <c r="EZ79" s="177"/>
      <c r="FA79" s="177"/>
      <c r="FB79" s="177"/>
      <c r="FC79" s="177"/>
      <c r="FD79" s="177"/>
      <c r="FE79" s="177"/>
      <c r="FF79" s="177"/>
      <c r="FG79" s="177"/>
      <c r="FH79" s="177"/>
      <c r="FI79" s="177"/>
      <c r="FJ79" s="177"/>
      <c r="FK79" s="177"/>
      <c r="FL79" s="177"/>
      <c r="FM79" s="177"/>
      <c r="FN79" s="177"/>
      <c r="FO79" s="177"/>
      <c r="FP79" s="177"/>
      <c r="FQ79" s="177"/>
      <c r="FR79" s="177"/>
      <c r="FS79" s="177"/>
      <c r="FT79" s="177"/>
      <c r="FU79" s="177"/>
      <c r="FV79" s="177"/>
      <c r="FW79" s="177"/>
      <c r="FX79" s="177"/>
      <c r="FY79" s="177"/>
      <c r="FZ79" s="177"/>
      <c r="GA79" s="177"/>
      <c r="GB79" s="177"/>
      <c r="GC79" s="177"/>
      <c r="GD79" s="177"/>
      <c r="GE79" s="177"/>
      <c r="GF79" s="177"/>
      <c r="GG79" s="177"/>
      <c r="GH79" s="177"/>
      <c r="GI79" s="177"/>
      <c r="GJ79" s="177"/>
      <c r="GK79" s="177"/>
      <c r="GL79" s="177"/>
      <c r="GM79" s="177"/>
      <c r="GN79" s="177"/>
      <c r="GO79" s="177"/>
      <c r="GP79" s="177"/>
      <c r="GQ79" s="177"/>
      <c r="GR79" s="177"/>
      <c r="GS79" s="177"/>
      <c r="GT79" s="177"/>
      <c r="GU79" s="177"/>
      <c r="GV79" s="177"/>
      <c r="GW79" s="177"/>
      <c r="GX79" s="177"/>
      <c r="GY79" s="177"/>
      <c r="GZ79" s="177"/>
      <c r="HA79" s="177"/>
      <c r="HB79" s="177"/>
      <c r="HC79" s="177"/>
      <c r="HD79" s="177"/>
      <c r="HE79" s="177"/>
      <c r="HF79" s="177"/>
      <c r="HG79" s="177"/>
      <c r="HH79" s="177"/>
      <c r="HI79" s="177"/>
      <c r="HJ79" s="177"/>
      <c r="HK79" s="177"/>
      <c r="HL79" s="177"/>
      <c r="HM79" s="177"/>
      <c r="HN79" s="177"/>
      <c r="HO79" s="177"/>
      <c r="HP79" s="177"/>
      <c r="HQ79" s="177"/>
      <c r="HR79" s="177"/>
      <c r="HS79" s="177"/>
      <c r="HT79" s="177"/>
      <c r="HU79" s="177"/>
      <c r="HV79" s="177"/>
      <c r="HW79" s="177"/>
      <c r="HX79" s="177"/>
      <c r="HY79" s="177"/>
      <c r="HZ79" s="177"/>
      <c r="IA79" s="177"/>
      <c r="IB79" s="177"/>
      <c r="IC79" s="177"/>
      <c r="ID79" s="177"/>
      <c r="IE79" s="177"/>
      <c r="IF79" s="177"/>
      <c r="IG79" s="177"/>
      <c r="IH79" s="177"/>
      <c r="II79" s="177"/>
      <c r="IJ79" s="177"/>
      <c r="IK79" s="177"/>
      <c r="IL79" s="177"/>
    </row>
    <row r="80" spans="1:246" ht="15.75" thickBot="1" x14ac:dyDescent="0.3">
      <c r="A80" s="216"/>
      <c r="B80" s="217" t="s">
        <v>226</v>
      </c>
      <c r="C80" s="218" t="s">
        <v>6</v>
      </c>
      <c r="D80" s="219">
        <f>SUM(D13:D20)+SUM(D30:D37)+SUM(D48:D57)+SUM(D68:D75)+D76+D77</f>
        <v>9730.7364365642297</v>
      </c>
      <c r="E80" s="220">
        <f>SUM(E13:E20)+SUM(E30:E37)+SUM(E48:E57)+SUM(E68:E75)+E76+E77</f>
        <v>37739.909224140218</v>
      </c>
      <c r="F80" s="221">
        <f>SUM(F13:F20)+SUM(F30:F37)+SUM(F48:F57)+SUM(F68:F75)+F63+F76+F77</f>
        <v>7837.7485051100175</v>
      </c>
      <c r="G80" s="222">
        <f>+Tableau79569396144277[[#This Row],[Colonne4]]-D81-E81</f>
        <v>0</v>
      </c>
      <c r="H80" s="421"/>
      <c r="I80" s="422">
        <f>Tableau79569396144277[[#This Row],[Colonne4]]*Tableau79569396144277[[#This Row],[Agnelles32]]</f>
        <v>0</v>
      </c>
      <c r="J80" s="168"/>
      <c r="K80" s="223">
        <f>SUM(K13:K20)+SUM(K30:K37)+SUM(K48:K57)+SUM(K68:K75)+K76+K77</f>
        <v>9730.7364365642297</v>
      </c>
      <c r="L80" s="224">
        <f>SUM(L13:L20)+SUM(L30:L37)+SUM(L48:L57)+SUM(L68:L75)+L76+L77</f>
        <v>37739.909224140218</v>
      </c>
      <c r="M80" s="225">
        <f>SUM(M13:M20)+SUM(M30:M37)+SUM(M48:M57)+SUM(M68:M75)+M63+M76+M77</f>
        <v>7837.7485051100175</v>
      </c>
      <c r="N80" s="26">
        <f>M80-K81-L81</f>
        <v>0</v>
      </c>
      <c r="O80" s="11"/>
      <c r="P80" s="30">
        <f>Tableau79569396144277[[#This Row],[Colonne4]]*Tableau79569396144277[[#This Row],[Agnelles32]]</f>
        <v>0</v>
      </c>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c r="CW80" s="8"/>
      <c r="CX80" s="8"/>
      <c r="CY80" s="8"/>
      <c r="CZ80" s="8"/>
      <c r="DA80" s="8"/>
      <c r="DB80" s="8"/>
      <c r="DC80" s="8"/>
      <c r="DD80" s="8"/>
      <c r="DE80" s="8"/>
      <c r="DF80" s="8"/>
      <c r="DG80" s="8"/>
      <c r="DH80" s="8"/>
      <c r="DI80" s="8"/>
      <c r="DJ80" s="8"/>
      <c r="DK80" s="8"/>
      <c r="DL80" s="8"/>
      <c r="DM80" s="8"/>
      <c r="DN80" s="8"/>
      <c r="DO80" s="8"/>
      <c r="DP80" s="8"/>
      <c r="DQ80" s="8"/>
      <c r="DR80" s="8"/>
      <c r="DS80" s="8"/>
      <c r="DT80" s="8"/>
      <c r="DU80" s="8"/>
      <c r="DV80" s="8"/>
      <c r="DW80" s="8"/>
      <c r="DX80" s="8"/>
      <c r="DY80" s="8"/>
      <c r="DZ80" s="8"/>
      <c r="EA80" s="8"/>
      <c r="EB80" s="8"/>
      <c r="EC80" s="8"/>
      <c r="ED80" s="8"/>
      <c r="EE80" s="8"/>
      <c r="EF80" s="8"/>
      <c r="EG80" s="8"/>
      <c r="EH80" s="8"/>
      <c r="EI80" s="8"/>
      <c r="EJ80" s="8"/>
      <c r="EK80" s="8"/>
      <c r="EL80" s="8"/>
      <c r="EM80" s="8"/>
      <c r="EN80" s="8"/>
      <c r="EO80" s="8"/>
      <c r="EP80" s="8"/>
      <c r="EQ80" s="8"/>
      <c r="ER80" s="8"/>
      <c r="ES80" s="8"/>
      <c r="ET80" s="8"/>
      <c r="EU80" s="8"/>
      <c r="EV80" s="8"/>
      <c r="EW80" s="8"/>
      <c r="EX80" s="8"/>
      <c r="EY80" s="8"/>
      <c r="EZ80" s="8"/>
      <c r="FA80" s="8"/>
      <c r="FB80" s="8"/>
      <c r="FC80" s="8"/>
      <c r="FD80" s="8"/>
      <c r="FE80" s="8"/>
      <c r="FF80" s="8"/>
      <c r="FG80" s="8"/>
      <c r="FH80" s="8"/>
      <c r="FI80" s="8"/>
      <c r="FJ80" s="8"/>
      <c r="FK80" s="8"/>
      <c r="FL80" s="8"/>
      <c r="FM80" s="8"/>
      <c r="FN80" s="8"/>
      <c r="FO80" s="8"/>
      <c r="FP80" s="8"/>
      <c r="FQ80" s="8"/>
      <c r="FR80" s="8"/>
      <c r="FS80" s="8"/>
      <c r="FT80" s="8"/>
      <c r="FU80" s="8"/>
      <c r="FV80" s="8"/>
      <c r="FW80" s="8"/>
      <c r="FX80" s="8"/>
      <c r="FY80" s="8"/>
      <c r="FZ80" s="8"/>
      <c r="GA80" s="8"/>
      <c r="GB80" s="8"/>
      <c r="GC80" s="8"/>
      <c r="GD80" s="8"/>
      <c r="GE80" s="8"/>
      <c r="GF80" s="8"/>
      <c r="GG80" s="8"/>
      <c r="GH80" s="8"/>
      <c r="GI80" s="8"/>
      <c r="GJ80" s="8"/>
      <c r="GK80" s="8"/>
      <c r="GL80" s="8"/>
      <c r="GM80" s="8"/>
      <c r="GN80" s="8"/>
      <c r="GO80" s="8"/>
      <c r="GP80" s="8"/>
      <c r="GQ80" s="8"/>
      <c r="GR80" s="8"/>
      <c r="GS80" s="8"/>
      <c r="GT80" s="8"/>
      <c r="GU80" s="8"/>
      <c r="GV80" s="8"/>
      <c r="GW80" s="8"/>
      <c r="GX80" s="8"/>
      <c r="GY80" s="8"/>
      <c r="GZ80" s="8"/>
      <c r="HA80" s="8"/>
      <c r="HB80" s="8"/>
      <c r="HC80" s="8"/>
      <c r="HD80" s="8"/>
      <c r="HE80" s="8"/>
      <c r="HF80" s="8"/>
      <c r="HG80" s="8"/>
      <c r="HH80" s="8"/>
      <c r="HI80" s="8"/>
      <c r="HJ80" s="8"/>
      <c r="HK80" s="8"/>
      <c r="HL80" s="8"/>
      <c r="HM80" s="8"/>
      <c r="HN80" s="8"/>
      <c r="HO80" s="8"/>
      <c r="HP80" s="8"/>
      <c r="HQ80" s="8"/>
      <c r="HR80" s="8"/>
      <c r="HS80" s="8"/>
      <c r="HT80" s="8"/>
      <c r="HU80" s="8"/>
      <c r="HV80" s="8"/>
      <c r="HW80" s="8"/>
      <c r="HX80" s="8"/>
      <c r="HY80" s="8"/>
      <c r="HZ80" s="8"/>
      <c r="IA80" s="8"/>
      <c r="IB80" s="8"/>
      <c r="IC80" s="8"/>
      <c r="ID80" s="8"/>
      <c r="IE80" s="8"/>
      <c r="IF80" s="8"/>
      <c r="IG80" s="8"/>
      <c r="IH80" s="8"/>
      <c r="II80" s="8"/>
      <c r="IJ80" s="8"/>
      <c r="IK80" s="8"/>
      <c r="IL80" s="8"/>
    </row>
    <row r="81" spans="1:246" ht="61.5" customHeight="1" thickBot="1" x14ac:dyDescent="0.3">
      <c r="A81" s="423"/>
      <c r="B81" s="68" t="s">
        <v>263</v>
      </c>
      <c r="C81" s="69" t="s">
        <v>6</v>
      </c>
      <c r="D81" s="131">
        <f>IF(F45=0,+F15*G15+F16*G16+F18*G18+F19*G19+F20*G20+F33*G33+F34*G34+F35*G35+F37*G37,+F15*G15+F16*G16+F18*G18+F19*G19+F20*G20+F33*G33+F34*G34+F35*G35+F37*G37+F48*G48+F51*G51+F53*G53+F54*G54+F56*G56+F57*G57+(F63*G63)+F76*G76+F77*G77)</f>
        <v>5376.2449920245781</v>
      </c>
      <c r="E81" s="132">
        <f>+F80-Tableau79569396144277[[#This Row],[Agneaux]]</f>
        <v>2461.5035130854394</v>
      </c>
      <c r="F81" s="133"/>
      <c r="G81" s="40"/>
      <c r="H81" s="49"/>
      <c r="I81" s="50">
        <f>Tableau79569396144277[[#This Row],[Colonne4]]*Tableau79569396144277[[#This Row],[Agnelles32]]</f>
        <v>0</v>
      </c>
      <c r="J81" s="168"/>
      <c r="K81" s="215">
        <f>IF(M45=0,+M15*N15+M16*N16+M18*N18+M19*N19+M20*N20+M33*N33+M34*N34+M35*N35+M37*N37,+M15*N15+M16*N16+M18*N18+M19*N19+M20*N20+M33*N33+M34*N34+M35*N35+M37*N37+M48*N48+M51*N51+M53*N53+M54*N54+M57*N57+(M63*N63)+M76*N76+M77*N77)</f>
        <v>5376.2449920245781</v>
      </c>
      <c r="L81" s="132">
        <f>M80-K81</f>
        <v>2461.5035130854394</v>
      </c>
      <c r="M81" s="133"/>
      <c r="N81" s="40"/>
      <c r="O81" s="11"/>
      <c r="P81" s="30">
        <f>Tableau79569396144277[[#This Row],[Colonne4]]*Tableau79569396144277[[#This Row],[Agnelles32]]</f>
        <v>0</v>
      </c>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c r="CW81" s="8"/>
      <c r="CX81" s="8"/>
      <c r="CY81" s="8"/>
      <c r="CZ81" s="8"/>
      <c r="DA81" s="8"/>
      <c r="DB81" s="8"/>
      <c r="DC81" s="8"/>
      <c r="DD81" s="8"/>
      <c r="DE81" s="8"/>
      <c r="DF81" s="8"/>
      <c r="DG81" s="8"/>
      <c r="DH81" s="8"/>
      <c r="DI81" s="8"/>
      <c r="DJ81" s="8"/>
      <c r="DK81" s="8"/>
      <c r="DL81" s="8"/>
      <c r="DM81" s="8"/>
      <c r="DN81" s="8"/>
      <c r="DO81" s="8"/>
      <c r="DP81" s="8"/>
      <c r="DQ81" s="8"/>
      <c r="DR81" s="8"/>
      <c r="DS81" s="8"/>
      <c r="DT81" s="8"/>
      <c r="DU81" s="8"/>
      <c r="DV81" s="8"/>
      <c r="DW81" s="8"/>
      <c r="DX81" s="8"/>
      <c r="DY81" s="8"/>
      <c r="DZ81" s="8"/>
      <c r="EA81" s="8"/>
      <c r="EB81" s="8"/>
      <c r="EC81" s="8"/>
      <c r="ED81" s="8"/>
      <c r="EE81" s="8"/>
      <c r="EF81" s="8"/>
      <c r="EG81" s="8"/>
      <c r="EH81" s="8"/>
      <c r="EI81" s="8"/>
      <c r="EJ81" s="8"/>
      <c r="EK81" s="8"/>
      <c r="EL81" s="8"/>
      <c r="EM81" s="8"/>
      <c r="EN81" s="8"/>
      <c r="EO81" s="8"/>
      <c r="EP81" s="8"/>
      <c r="EQ81" s="8"/>
      <c r="ER81" s="8"/>
      <c r="ES81" s="8"/>
      <c r="ET81" s="8"/>
      <c r="EU81" s="8"/>
      <c r="EV81" s="8"/>
      <c r="EW81" s="8"/>
      <c r="EX81" s="8"/>
      <c r="EY81" s="8"/>
      <c r="EZ81" s="8"/>
      <c r="FA81" s="8"/>
      <c r="FB81" s="8"/>
      <c r="FC81" s="8"/>
      <c r="FD81" s="8"/>
      <c r="FE81" s="8"/>
      <c r="FF81" s="8"/>
      <c r="FG81" s="8"/>
      <c r="FH81" s="8"/>
      <c r="FI81" s="8"/>
      <c r="FJ81" s="8"/>
      <c r="FK81" s="8"/>
      <c r="FL81" s="8"/>
      <c r="FM81" s="8"/>
      <c r="FN81" s="8"/>
      <c r="FO81" s="8"/>
      <c r="FP81" s="8"/>
      <c r="FQ81" s="8"/>
      <c r="FR81" s="8"/>
      <c r="FS81" s="8"/>
      <c r="FT81" s="8"/>
      <c r="FU81" s="8"/>
      <c r="FV81" s="8"/>
      <c r="FW81" s="8"/>
      <c r="FX81" s="8"/>
      <c r="FY81" s="8"/>
      <c r="FZ81" s="8"/>
      <c r="GA81" s="8"/>
      <c r="GB81" s="8"/>
      <c r="GC81" s="8"/>
      <c r="GD81" s="8"/>
      <c r="GE81" s="8"/>
      <c r="GF81" s="8"/>
      <c r="GG81" s="8"/>
      <c r="GH81" s="8"/>
      <c r="GI81" s="8"/>
      <c r="GJ81" s="8"/>
      <c r="GK81" s="8"/>
      <c r="GL81" s="8"/>
      <c r="GM81" s="8"/>
      <c r="GN81" s="8"/>
      <c r="GO81" s="8"/>
      <c r="GP81" s="8"/>
      <c r="GQ81" s="8"/>
      <c r="GR81" s="8"/>
      <c r="GS81" s="8"/>
      <c r="GT81" s="8"/>
      <c r="GU81" s="8"/>
      <c r="GV81" s="8"/>
      <c r="GW81" s="8"/>
      <c r="GX81" s="8"/>
      <c r="GY81" s="8"/>
      <c r="GZ81" s="8"/>
      <c r="HA81" s="8"/>
      <c r="HB81" s="8"/>
      <c r="HC81" s="8"/>
      <c r="HD81" s="8"/>
      <c r="HE81" s="8"/>
      <c r="HF81" s="8"/>
      <c r="HG81" s="8"/>
      <c r="HH81" s="8"/>
      <c r="HI81" s="8"/>
      <c r="HJ81" s="8"/>
      <c r="HK81" s="8"/>
      <c r="HL81" s="8"/>
      <c r="HM81" s="8"/>
      <c r="HN81" s="8"/>
      <c r="HO81" s="8"/>
      <c r="HP81" s="8"/>
      <c r="HQ81" s="8"/>
      <c r="HR81" s="8"/>
      <c r="HS81" s="8"/>
      <c r="HT81" s="8"/>
      <c r="HU81" s="8"/>
      <c r="HV81" s="8"/>
      <c r="HW81" s="8"/>
      <c r="HX81" s="8"/>
      <c r="HY81" s="8"/>
      <c r="HZ81" s="8"/>
      <c r="IA81" s="8"/>
      <c r="IB81" s="8"/>
      <c r="IC81" s="8"/>
      <c r="ID81" s="8"/>
      <c r="IE81" s="8"/>
      <c r="IF81" s="8"/>
      <c r="IG81" s="8"/>
      <c r="IH81" s="8"/>
      <c r="II81" s="8"/>
      <c r="IJ81" s="8"/>
      <c r="IK81" s="8"/>
      <c r="IL81" s="8"/>
    </row>
    <row r="82" spans="1:246" ht="15.75" thickBot="1" x14ac:dyDescent="0.3">
      <c r="A82" s="23"/>
      <c r="B82" s="208" t="s">
        <v>8</v>
      </c>
      <c r="C82" s="70" t="s">
        <v>6</v>
      </c>
      <c r="D82" s="134">
        <f>(D80+D81)/D66</f>
        <v>1007.1320952392539</v>
      </c>
      <c r="E82" s="135">
        <f>(E80+E81)/E66</f>
        <v>508.87864224336272</v>
      </c>
      <c r="F82" s="136"/>
      <c r="G82" s="169"/>
      <c r="H82" s="424"/>
      <c r="I82" s="425">
        <f>Tableau79569396144277[[#This Row],[Colonne4]]*Tableau79569396144277[[#This Row],[Agnelles32]]</f>
        <v>0</v>
      </c>
      <c r="J82" s="168"/>
      <c r="K82" s="226">
        <f>(K80+K81)/K66</f>
        <v>1007.1320952392539</v>
      </c>
      <c r="L82" s="227">
        <f>(L80+L81)/L66</f>
        <v>508.87864224336272</v>
      </c>
      <c r="M82" s="228"/>
      <c r="N82" s="42"/>
      <c r="O82" s="11"/>
      <c r="P82" s="30">
        <f>Tableau79569396144277[[#This Row],[Colonne4]]*Tableau79569396144277[[#This Row],[Agnelles32]]</f>
        <v>0</v>
      </c>
    </row>
    <row r="83" spans="1:246" x14ac:dyDescent="0.25">
      <c r="A83" s="18"/>
      <c r="B83" s="56" t="s">
        <v>179</v>
      </c>
      <c r="C83" s="57" t="s">
        <v>6</v>
      </c>
      <c r="D83" s="179">
        <f>-'DONNÉES À ENTRER'!B138</f>
        <v>-79.796060000000011</v>
      </c>
      <c r="E83" s="203">
        <f>-'DONNÉES À ENTRER'!B137</f>
        <v>-72.512</v>
      </c>
      <c r="F83" s="178"/>
      <c r="G83" s="426"/>
      <c r="H83" s="427"/>
      <c r="I83" s="427"/>
      <c r="J83" s="202"/>
      <c r="K83" s="200">
        <f>-'DONNÉES À ENTRER'!D138</f>
        <v>-79.796060000000011</v>
      </c>
      <c r="L83" s="203">
        <f>-'DONNÉES À ENTRER'!D137</f>
        <v>-72.512</v>
      </c>
      <c r="M83" s="178"/>
      <c r="N83" s="43"/>
    </row>
    <row r="84" spans="1:246" s="214" customFormat="1" ht="30" customHeight="1" thickBot="1" x14ac:dyDescent="0.3">
      <c r="A84" s="428"/>
      <c r="B84" s="594" t="s">
        <v>278</v>
      </c>
      <c r="C84" s="595"/>
      <c r="D84" s="433">
        <f>+D82+D83</f>
        <v>927.33603523925387</v>
      </c>
      <c r="E84" s="434">
        <f>+E82+E83</f>
        <v>436.36664224336272</v>
      </c>
      <c r="F84" s="435"/>
      <c r="G84" s="436"/>
      <c r="H84" s="437"/>
      <c r="I84" s="437"/>
      <c r="J84" s="437"/>
      <c r="K84" s="209">
        <f>+K82+K83</f>
        <v>927.33603523925387</v>
      </c>
      <c r="L84" s="210">
        <f>+L82+L83</f>
        <v>436.36664224336272</v>
      </c>
      <c r="M84" s="211"/>
      <c r="N84" s="212"/>
      <c r="O84" s="213"/>
      <c r="P84" s="213"/>
    </row>
    <row r="85" spans="1:246" x14ac:dyDescent="0.25">
      <c r="A85" s="9"/>
      <c r="B85" s="8"/>
      <c r="C85" s="3"/>
      <c r="D85" s="24"/>
      <c r="E85" s="24"/>
      <c r="F85" s="24"/>
      <c r="G85" s="13"/>
      <c r="K85" s="24"/>
      <c r="L85" s="24"/>
      <c r="M85" s="24"/>
      <c r="N85" s="13"/>
    </row>
    <row r="86" spans="1:246" x14ac:dyDescent="0.25">
      <c r="A86" s="9"/>
      <c r="B86" s="8"/>
      <c r="C86" s="3"/>
      <c r="D86" s="24"/>
      <c r="E86" s="24"/>
      <c r="F86" s="24"/>
      <c r="G86" s="13"/>
      <c r="K86" s="24"/>
      <c r="L86" s="24"/>
      <c r="M86" s="24"/>
      <c r="N86" s="13"/>
    </row>
    <row r="87" spans="1:246" x14ac:dyDescent="0.25">
      <c r="A87" s="9"/>
      <c r="B87" s="8"/>
      <c r="C87" s="3"/>
      <c r="D87" s="24"/>
      <c r="E87" s="24"/>
      <c r="F87" s="24"/>
      <c r="G87" s="13"/>
      <c r="K87" s="24"/>
      <c r="L87" s="24"/>
      <c r="M87" s="24"/>
      <c r="N87" s="13"/>
    </row>
    <row r="88" spans="1:246" x14ac:dyDescent="0.25">
      <c r="A88" s="9"/>
      <c r="B88" s="8"/>
      <c r="C88" s="3"/>
      <c r="D88" s="24"/>
      <c r="E88" s="24"/>
      <c r="F88" s="24"/>
      <c r="G88" s="13"/>
      <c r="K88" s="24"/>
      <c r="L88" s="24"/>
      <c r="M88" s="24"/>
      <c r="N88" s="13"/>
    </row>
    <row r="89" spans="1:246" x14ac:dyDescent="0.25">
      <c r="A89" s="9"/>
      <c r="B89" s="8"/>
      <c r="C89" s="3"/>
      <c r="E89" s="24"/>
      <c r="F89" s="24"/>
      <c r="G89" s="13"/>
      <c r="L89" s="24"/>
      <c r="M89" s="24"/>
      <c r="N89" s="13"/>
    </row>
    <row r="90" spans="1:246" x14ac:dyDescent="0.25">
      <c r="A90" s="9"/>
      <c r="B90" s="8"/>
      <c r="C90" s="3"/>
      <c r="E90" s="25"/>
      <c r="F90" s="25"/>
      <c r="G90" s="13"/>
      <c r="L90" s="25"/>
      <c r="M90" s="25"/>
      <c r="N90" s="13"/>
    </row>
    <row r="91" spans="1:246" x14ac:dyDescent="0.25">
      <c r="A91" s="12"/>
      <c r="B91" s="11"/>
      <c r="C91" s="3"/>
      <c r="E91" s="25"/>
      <c r="F91" s="25"/>
      <c r="G91" s="21"/>
      <c r="L91" s="25"/>
      <c r="M91" s="25"/>
      <c r="N91" s="21"/>
    </row>
    <row r="92" spans="1:246" x14ac:dyDescent="0.25">
      <c r="A92" s="12"/>
      <c r="B92" s="11"/>
      <c r="C92" s="12"/>
      <c r="G92" s="21"/>
      <c r="N92" s="21"/>
    </row>
    <row r="93" spans="1:246" x14ac:dyDescent="0.25">
      <c r="A93" s="12"/>
      <c r="B93" s="11"/>
      <c r="C93" s="12"/>
      <c r="G93" s="21"/>
      <c r="N93" s="21"/>
    </row>
    <row r="94" spans="1:246" x14ac:dyDescent="0.25">
      <c r="A94" s="12"/>
      <c r="B94" s="11"/>
      <c r="C94" s="12"/>
      <c r="G94" s="21"/>
      <c r="N94" s="21"/>
    </row>
    <row r="95" spans="1:246" x14ac:dyDescent="0.25">
      <c r="A95" s="12"/>
      <c r="B95" s="11"/>
      <c r="C95" s="12"/>
      <c r="G95" s="21"/>
      <c r="N95" s="21"/>
    </row>
    <row r="96" spans="1:246" x14ac:dyDescent="0.25">
      <c r="A96" s="12"/>
      <c r="B96" s="11"/>
      <c r="C96" s="12"/>
      <c r="G96" s="21"/>
      <c r="N96" s="21"/>
    </row>
    <row r="97" spans="1:14" x14ac:dyDescent="0.25">
      <c r="A97" s="12"/>
      <c r="B97" s="11"/>
      <c r="C97" s="12"/>
      <c r="G97" s="21"/>
      <c r="N97" s="21"/>
    </row>
    <row r="98" spans="1:14" x14ac:dyDescent="0.25">
      <c r="A98" s="12"/>
      <c r="B98" s="11"/>
      <c r="C98" s="12"/>
      <c r="G98" s="21"/>
      <c r="N98" s="21"/>
    </row>
    <row r="99" spans="1:14" x14ac:dyDescent="0.25">
      <c r="A99" s="12"/>
      <c r="B99" s="11"/>
      <c r="C99" s="12"/>
      <c r="G99" s="21"/>
      <c r="N99" s="21"/>
    </row>
    <row r="100" spans="1:14" x14ac:dyDescent="0.25">
      <c r="A100" s="12"/>
      <c r="B100" s="11"/>
      <c r="C100" s="12"/>
      <c r="G100" s="21"/>
      <c r="N100" s="21"/>
    </row>
    <row r="101" spans="1:14" x14ac:dyDescent="0.25">
      <c r="A101" s="12"/>
      <c r="B101" s="11"/>
      <c r="C101" s="12"/>
      <c r="G101" s="21"/>
      <c r="N101" s="21"/>
    </row>
  </sheetData>
  <sheetProtection algorithmName="SHA-512" hashValue="4XbxgeKbHXX3r234U9NYgtZQKtWk0b0L3SlHo4tN6Jeb2HchZhaGTrEfxKJmRkyzi48V9Lgd1whoHC3ehPhIwA==" saltValue="U5HB8+slYyvnf30xwW88sA==" spinCount="100000" sheet="1" objects="1" scenarios="1"/>
  <mergeCells count="7">
    <mergeCell ref="B84:C84"/>
    <mergeCell ref="A3:A5"/>
    <mergeCell ref="D4:F4"/>
    <mergeCell ref="K4:M4"/>
    <mergeCell ref="D3:M3"/>
    <mergeCell ref="B3:B5"/>
    <mergeCell ref="C3:C5"/>
  </mergeCells>
  <conditionalFormatting sqref="Q1:IT4">
    <cfRule type="dataBar" priority="5">
      <dataBar>
        <cfvo type="min"/>
        <cfvo type="max"/>
        <color rgb="FF638EC6"/>
      </dataBar>
      <extLst>
        <ext xmlns:x14="http://schemas.microsoft.com/office/spreadsheetml/2009/9/main" uri="{B025F937-C7B1-47D3-B67F-A62EFF666E3E}">
          <x14:id>{A80634AE-3D06-43EE-995D-CC0B6EE01DA7}</x14:id>
        </ext>
      </extLst>
    </cfRule>
  </conditionalFormatting>
  <pageMargins left="0.51181102362204722" right="0.51181102362204722" top="0.55118110236220474" bottom="0.55118110236220474" header="0.31496062992125984" footer="0.31496062992125984"/>
  <pageSetup scale="65" fitToHeight="0" orientation="landscape" r:id="rId1"/>
  <headerFooter>
    <oddFooter>&amp;C&amp;9&amp;F&amp;R&amp;9Copyright © 2018   |   SEMRPQ</oddFooter>
  </headerFooter>
  <rowBreaks count="1" manualBreakCount="1">
    <brk id="43" max="16383" man="1"/>
  </rowBreaks>
  <colBreaks count="1" manualBreakCount="1">
    <brk id="16" max="1048575" man="1"/>
  </colBreaks>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A80634AE-3D06-43EE-995D-CC0B6EE01DA7}">
            <x14:dataBar minLength="0" maxLength="100" negativeBarColorSameAsPositive="1" axisPosition="none">
              <x14:cfvo type="min"/>
              <x14:cfvo type="max"/>
            </x14:dataBar>
          </x14:cfRule>
          <xm:sqref>Q1:IT4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sheetPr>
  <dimension ref="A1:E17"/>
  <sheetViews>
    <sheetView workbookViewId="0">
      <selection sqref="A1:E1"/>
    </sheetView>
  </sheetViews>
  <sheetFormatPr baseColWidth="10" defaultRowHeight="15" x14ac:dyDescent="0.25"/>
  <cols>
    <col min="1" max="1" width="48.5703125" customWidth="1"/>
    <col min="2" max="5" width="17.85546875" customWidth="1"/>
  </cols>
  <sheetData>
    <row r="1" spans="1:5" s="457" customFormat="1" ht="44.25" customHeight="1" x14ac:dyDescent="0.25">
      <c r="A1" s="612" t="s">
        <v>288</v>
      </c>
      <c r="B1" s="612"/>
      <c r="C1" s="612"/>
      <c r="D1" s="612"/>
      <c r="E1" s="612"/>
    </row>
    <row r="2" spans="1:5" s="457" customFormat="1" ht="18.75" customHeight="1" thickBot="1" x14ac:dyDescent="0.3">
      <c r="A2" s="47"/>
      <c r="B2" s="47"/>
      <c r="C2" s="47"/>
      <c r="D2" s="47"/>
      <c r="E2" s="47"/>
    </row>
    <row r="3" spans="1:5" s="457" customFormat="1" ht="24" customHeight="1" x14ac:dyDescent="0.25">
      <c r="A3" s="617" t="s">
        <v>130</v>
      </c>
      <c r="B3" s="613" t="s">
        <v>228</v>
      </c>
      <c r="C3" s="614"/>
      <c r="D3" s="615" t="s">
        <v>3</v>
      </c>
      <c r="E3" s="616"/>
    </row>
    <row r="4" spans="1:5" s="457" customFormat="1" ht="28.5" customHeight="1" thickBot="1" x14ac:dyDescent="0.3">
      <c r="A4" s="618"/>
      <c r="B4" s="474" t="s">
        <v>229</v>
      </c>
      <c r="C4" s="476" t="s">
        <v>231</v>
      </c>
      <c r="D4" s="475" t="s">
        <v>230</v>
      </c>
      <c r="E4" s="484" t="s">
        <v>232</v>
      </c>
    </row>
    <row r="5" spans="1:5" s="457" customFormat="1" ht="18" customHeight="1" thickTop="1" x14ac:dyDescent="0.25">
      <c r="A5" s="458" t="s">
        <v>196</v>
      </c>
      <c r="B5" s="451">
        <f>'DONNÉES À ENTRER'!B5*'DONNÉES À ENTRER'!B6*0.5</f>
        <v>133</v>
      </c>
      <c r="C5" s="477" t="s">
        <v>147</v>
      </c>
      <c r="D5" s="466">
        <f>'DONNÉES À ENTRER'!B5*'DONNÉES À ENTRER'!B6*0.5</f>
        <v>133</v>
      </c>
      <c r="E5" s="489" t="s">
        <v>147</v>
      </c>
    </row>
    <row r="6" spans="1:5" s="457" customFormat="1" ht="18" customHeight="1" x14ac:dyDescent="0.25">
      <c r="A6" s="459" t="s">
        <v>194</v>
      </c>
      <c r="B6" s="452">
        <f>'Grille de calculs - PROLIFIQUE'!D8</f>
        <v>15</v>
      </c>
      <c r="C6" s="478" t="s">
        <v>147</v>
      </c>
      <c r="D6" s="467">
        <f>'Grille de calculs - PROLIFIQUE'!E8</f>
        <v>79</v>
      </c>
      <c r="E6" s="490" t="s">
        <v>147</v>
      </c>
    </row>
    <row r="7" spans="1:5" s="457" customFormat="1" ht="18" customHeight="1" x14ac:dyDescent="0.25">
      <c r="A7" s="460" t="s">
        <v>195</v>
      </c>
      <c r="B7" s="453">
        <f>'Grille de calculs - PROLIFIQUE'!D9</f>
        <v>0.11278195488721804</v>
      </c>
      <c r="C7" s="479" t="s">
        <v>147</v>
      </c>
      <c r="D7" s="468">
        <f>'Grille de calculs - PROLIFIQUE'!E9</f>
        <v>0.59398496240601506</v>
      </c>
      <c r="E7" s="491" t="s">
        <v>147</v>
      </c>
    </row>
    <row r="8" spans="1:5" s="457" customFormat="1" ht="18" customHeight="1" x14ac:dyDescent="0.25">
      <c r="A8" s="458" t="s">
        <v>233</v>
      </c>
      <c r="B8" s="454">
        <f>'Grille de calculs - PROLIFIQUE'!D13</f>
        <v>3900</v>
      </c>
      <c r="C8" s="480">
        <f>B8/B$6</f>
        <v>260</v>
      </c>
      <c r="D8" s="469">
        <f>'Grille de calculs - PROLIFIQUE'!E13</f>
        <v>20540</v>
      </c>
      <c r="E8" s="485">
        <f>D8/D$6</f>
        <v>260</v>
      </c>
    </row>
    <row r="9" spans="1:5" s="457" customFormat="1" ht="18" customHeight="1" x14ac:dyDescent="0.25">
      <c r="A9" s="459" t="s">
        <v>190</v>
      </c>
      <c r="B9" s="455">
        <f>'Grille de calculs - PROLIFIQUE'!D15+'Grille de calculs - PROLIFIQUE'!D16+'Grille de calculs - PROLIFIQUE'!F15*'Grille de calculs - PROLIFIQUE'!G15+'Grille de calculs - PROLIFIQUE'!F16*'Grille de calculs - PROLIFIQUE'!G16</f>
        <v>4401.772727272727</v>
      </c>
      <c r="C9" s="481">
        <f>B9/B$6</f>
        <v>293.45151515151514</v>
      </c>
      <c r="D9" s="470">
        <f>'Grille de calculs - PROLIFIQUE'!E15+'Grille de calculs - PROLIFIQUE'!E16+('Grille de calculs - PROLIFIQUE'!F15*'Grille de calculs - PROLIFIQUE'!H15)+('Grille de calculs - PROLIFIQUE'!F16*'Grille de calculs - PROLIFIQUE'!H16)</f>
        <v>4401.7727272727261</v>
      </c>
      <c r="E9" s="486">
        <f>D9/D$6</f>
        <v>55.718642117376277</v>
      </c>
    </row>
    <row r="10" spans="1:5" s="457" customFormat="1" ht="18" customHeight="1" x14ac:dyDescent="0.25">
      <c r="A10" s="459" t="s">
        <v>191</v>
      </c>
      <c r="B10" s="455">
        <f>'Grille de calculs - PROLIFIQUE'!D30+'Grille de calculs - PROLIFIQUE'!D48+'Grille de calculs - PROLIFIQUE'!F48*'Grille de calculs - PROLIFIQUE'!G48+'Grille de calculs - PROLIFIQUE'!D51+'Grille de calculs - PROLIFIQUE'!F51*'Grille de calculs - PROLIFIQUE'!G51</f>
        <v>1935.2270401960786</v>
      </c>
      <c r="C10" s="481">
        <f>B10/B$6</f>
        <v>129.0151360130719</v>
      </c>
      <c r="D10" s="470">
        <f>'Grille de calculs - PROLIFIQUE'!E31+'Grille de calculs - PROLIFIQUE'!E49+'Grille de calculs - PROLIFIQUE'!F49*'Grille de calculs - PROLIFIQUE'!H49</f>
        <v>3979.6335523529419</v>
      </c>
      <c r="E10" s="486">
        <f>D10/D$6</f>
        <v>50.375108257632178</v>
      </c>
    </row>
    <row r="11" spans="1:5" s="457" customFormat="1" ht="18" customHeight="1" x14ac:dyDescent="0.25">
      <c r="A11" s="459" t="s">
        <v>192</v>
      </c>
      <c r="B11" s="455">
        <f>SUM('Grille de calculs - PROLIFIQUE'!D18:D20)+SUMPRODUCT('Grille de calculs - PROLIFIQUE'!F18:F20,'Grille de calculs - PROLIFIQUE'!G18:G20)+SUM('Grille de calculs - PROLIFIQUE'!D33:D35)+SUMPRODUCT('Grille de calculs - PROLIFIQUE'!F33:F35,'Grille de calculs - PROLIFIQUE'!G33:G35)+SUM('Grille de calculs - PROLIFIQUE'!D53:D54)+SUMPRODUCT('Grille de calculs - PROLIFIQUE'!F53:F54,'Grille de calculs - PROLIFIQUE'!G53:G54)+SUM('Grille de calculs - PROLIFIQUE'!D68:D70)</f>
        <v>1893.4504320000001</v>
      </c>
      <c r="C11" s="481">
        <f>B11/B$6</f>
        <v>126.2300288</v>
      </c>
      <c r="D11" s="470">
        <f>SUM('Grille de calculs - PROLIFIQUE'!E18:E20)+SUMPRODUCT('Grille de calculs - PROLIFIQUE'!F18:F20,'Grille de calculs - PROLIFIQUE'!H18:H20)+SUM('Grille de calculs - PROLIFIQUE'!E33:E35)+SUMPRODUCT('Grille de calculs - PROLIFIQUE'!F33:F35,'Grille de calculs - PROLIFIQUE'!H33:H35)+SUM('Grille de calculs - PROLIFIQUE'!E53:E54)+SUMPRODUCT('Grille de calculs - PROLIFIQUE'!F53:F54,'Grille de calculs - PROLIFIQUE'!H53:H54)+SUM('Grille de calculs - PROLIFIQUE'!E68:E70)</f>
        <v>1651.9144320000003</v>
      </c>
      <c r="E11" s="486">
        <f>D11/D$6</f>
        <v>20.910309265822789</v>
      </c>
    </row>
    <row r="12" spans="1:5" s="457" customFormat="1" ht="18" customHeight="1" x14ac:dyDescent="0.25">
      <c r="A12" s="459" t="s">
        <v>193</v>
      </c>
      <c r="B12" s="455">
        <f>'Grille de calculs - PROLIFIQUE'!D37+'Grille de calculs - PROLIFIQUE'!F37*'Grille de calculs - PROLIFIQUE'!G37+'Grille de calculs - PROLIFIQUE'!D56+'Grille de calculs - PROLIFIQUE'!F56*'Grille de calculs - PROLIFIQUE'!G56+'Grille de calculs - PROLIFIQUE'!D57+'Grille de calculs - PROLIFIQUE'!F57*'Grille de calculs - PROLIFIQUE'!G57+SUM('Grille de calculs - PROLIFIQUE'!D72:D75)</f>
        <v>1872.5</v>
      </c>
      <c r="C12" s="481">
        <f>B12/B$6</f>
        <v>124.83333333333333</v>
      </c>
      <c r="D12" s="470">
        <f>'Grille de calculs - PROLIFIQUE'!E37+'Grille de calculs - PROLIFIQUE'!F37*'Grille de calculs - PROLIFIQUE'!H37+'Grille de calculs - PROLIFIQUE'!E56+'Grille de calculs - PROLIFIQUE'!F56*'Grille de calculs - PROLIFIQUE'!H56+'Grille de calculs - PROLIFIQUE'!E57+'Grille de calculs - PROLIFIQUE'!F57*'Grille de calculs - PROLIFIQUE'!H57+'Grille de calculs - PROLIFIQUE'!E72+'Grille de calculs - PROLIFIQUE'!E73+'Grille de calculs - PROLIFIQUE'!E74+'Grille de calculs - PROLIFIQUE'!E75</f>
        <v>5999.26</v>
      </c>
      <c r="E12" s="486">
        <f>D12/D$6</f>
        <v>75.94</v>
      </c>
    </row>
    <row r="13" spans="1:5" s="457" customFormat="1" ht="18" customHeight="1" x14ac:dyDescent="0.25">
      <c r="A13" s="459" t="s">
        <v>197</v>
      </c>
      <c r="B13" s="455">
        <f>'Grille de calculs - PROLIFIQUE'!D76+'Grille de calculs - PROLIFIQUE'!F76*'Grille de calculs - PROLIFIQUE'!G76</f>
        <v>813.19500000000005</v>
      </c>
      <c r="C13" s="481">
        <f t="shared" ref="C13:C16" si="0">B13/B$6</f>
        <v>54.213000000000001</v>
      </c>
      <c r="D13" s="470">
        <f>'Grille de calculs - PROLIFIQUE'!E76+'Grille de calculs - PROLIFIQUE'!F76*'Grille de calculs - PROLIFIQUE'!H76</f>
        <v>2419.1550000000002</v>
      </c>
      <c r="E13" s="486">
        <f t="shared" ref="E13:E16" si="1">D13/D$6</f>
        <v>30.622215189873419</v>
      </c>
    </row>
    <row r="14" spans="1:5" s="457" customFormat="1" ht="18" customHeight="1" x14ac:dyDescent="0.25">
      <c r="A14" s="460" t="s">
        <v>234</v>
      </c>
      <c r="B14" s="456">
        <f>'Grille de calculs - PROLIFIQUE'!D77+'Grille de calculs - PROLIFIQUE'!F77*'Grille de calculs - PROLIFIQUE'!G77</f>
        <v>229.71019911999986</v>
      </c>
      <c r="C14" s="482">
        <f t="shared" si="0"/>
        <v>15.314013274666657</v>
      </c>
      <c r="D14" s="471">
        <f>'Grille de calculs - PROLIFIQUE'!E77+'Grille de calculs - PROLIFIQUE'!F77*'Grille de calculs - PROLIFIQUE'!H77</f>
        <v>1148.5509955999992</v>
      </c>
      <c r="E14" s="487">
        <f t="shared" si="1"/>
        <v>14.538620197468344</v>
      </c>
    </row>
    <row r="15" spans="1:5" s="457" customFormat="1" ht="18" customHeight="1" x14ac:dyDescent="0.25">
      <c r="A15" s="458" t="s">
        <v>198</v>
      </c>
      <c r="B15" s="454">
        <f>'Grille de calculs - PROLIFIQUE'!D83*B6</f>
        <v>-1196.9409000000001</v>
      </c>
      <c r="C15" s="480">
        <f t="shared" si="0"/>
        <v>-79.796059999999997</v>
      </c>
      <c r="D15" s="469">
        <f>'Grille de calculs - PROLIFIQUE'!E83*D6</f>
        <v>-5728.4480000000003</v>
      </c>
      <c r="E15" s="485">
        <f t="shared" si="1"/>
        <v>-72.512</v>
      </c>
    </row>
    <row r="16" spans="1:5" s="457" customFormat="1" ht="36" customHeight="1" thickBot="1" x14ac:dyDescent="0.3">
      <c r="A16" s="461" t="s">
        <v>235</v>
      </c>
      <c r="B16" s="462">
        <f>'Grille de calculs - PROLIFIQUE'!F63*'Grille de calculs - PROLIFIQUE'!G63</f>
        <v>61.126030000000007</v>
      </c>
      <c r="C16" s="483">
        <f t="shared" si="0"/>
        <v>4.0750686666666676</v>
      </c>
      <c r="D16" s="472">
        <f>'Grille de calculs - PROLIFIQUE'!F63*'Grille de calculs - PROLIFIQUE'!H63</f>
        <v>61.126030000000007</v>
      </c>
      <c r="E16" s="488">
        <f t="shared" si="1"/>
        <v>0.77374721518987355</v>
      </c>
    </row>
    <row r="17" spans="1:5" s="457" customFormat="1" ht="31.5" customHeight="1" thickBot="1" x14ac:dyDescent="0.3">
      <c r="A17" s="492" t="s">
        <v>279</v>
      </c>
      <c r="B17" s="463">
        <f>SUM(B8:B16)</f>
        <v>13910.040528588805</v>
      </c>
      <c r="C17" s="465">
        <f t="shared" ref="C17:E17" si="2">SUM(C8:C16)</f>
        <v>927.33603523925376</v>
      </c>
      <c r="D17" s="473">
        <f t="shared" si="2"/>
        <v>34472.964737225673</v>
      </c>
      <c r="E17" s="464">
        <f t="shared" si="2"/>
        <v>436.36664224336283</v>
      </c>
    </row>
  </sheetData>
  <sheetProtection algorithmName="SHA-512" hashValue="W11Ro9vNX1w5fl652khXRbbJzBtYzF5E66LDtnv0KgQKEgAQa4vIaHt/wLzGkPOUI/A5s+WPIiYs7aHW6EUqVA==" saltValue="WkO4nGL9nZ+Kppij1/FAMg==" spinCount="100000" sheet="1" objects="1" scenarios="1"/>
  <mergeCells count="4">
    <mergeCell ref="A1:E1"/>
    <mergeCell ref="B3:C3"/>
    <mergeCell ref="D3:E3"/>
    <mergeCell ref="A3:A4"/>
  </mergeCells>
  <printOptions horizontalCentered="1"/>
  <pageMargins left="0.70866141732283472" right="0.70866141732283472" top="0.74803149606299213" bottom="0.74803149606299213" header="0.31496062992125984" footer="0.31496062992125984"/>
  <pageSetup orientation="landscape" r:id="rId1"/>
  <headerFooter>
    <oddFooter>&amp;L&amp;9&amp;F&amp;R&amp;9Copyright © 2018   |   SEMRPQ</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3</vt:i4>
      </vt:variant>
    </vt:vector>
  </HeadingPairs>
  <TitlesOfParts>
    <vt:vector size="8" baseType="lpstr">
      <vt:lpstr>Accueil</vt:lpstr>
      <vt:lpstr>CONSIGNES</vt:lpstr>
      <vt:lpstr>DONNÉES À ENTRER</vt:lpstr>
      <vt:lpstr>Grille de calculs - PROLIFIQUE</vt:lpstr>
      <vt:lpstr>Sommaire des résultats</vt:lpstr>
      <vt:lpstr>'DONNÉES À ENTRER'!Impression_des_titres</vt:lpstr>
      <vt:lpstr>'Grille de calculs - PROLIFIQUE'!Impression_des_titres</vt:lpstr>
      <vt:lpstr>'DONNÉES À ENTRER'!Zone_d_impression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dc:creator>
  <cp:lastModifiedBy>Hélène Méthot</cp:lastModifiedBy>
  <cp:lastPrinted>2018-04-05T17:38:44Z</cp:lastPrinted>
  <dcterms:created xsi:type="dcterms:W3CDTF">2017-10-18T20:53:59Z</dcterms:created>
  <dcterms:modified xsi:type="dcterms:W3CDTF">2018-04-05T17:38:55Z</dcterms:modified>
</cp:coreProperties>
</file>