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E:\helene.methot\Documents\Travail\CEPOQ\Projets_RetD\SEMRPQ_Outil Économique\FINAUX\"/>
    </mc:Choice>
  </mc:AlternateContent>
  <xr:revisionPtr revIDLastSave="0" documentId="12_ncr:500000_{898F32AB-6F01-4804-B809-3A778E8B2424}" xr6:coauthVersionLast="31" xr6:coauthVersionMax="31" xr10:uidLastSave="{00000000-0000-0000-0000-000000000000}"/>
  <workbookProtection workbookAlgorithmName="SHA-512" workbookHashValue="XWHWF68OkrFvdyMPJKqpBOb7s334/HGkjZ7yl/Rttp7RGGrHmXapeD0oDV688KsEFZSB0FqOJOncveuomeNG5Q==" workbookSaltValue="4RJWQDd5Oskw0/Wv+JoGvA==" workbookSpinCount="100000" lockStructure="1"/>
  <bookViews>
    <workbookView xWindow="0" yWindow="0" windowWidth="20490" windowHeight="7665" tabRatio="638" xr2:uid="{00000000-000D-0000-FFFF-FFFF00000000}"/>
  </bookViews>
  <sheets>
    <sheet name="Accueil" sheetId="6" r:id="rId1"/>
    <sheet name="CONSIGNES" sheetId="5" r:id="rId2"/>
    <sheet name="DONNÉES À ENTRER" sheetId="1" r:id="rId3"/>
    <sheet name="Grille de calculs - PATERNELLE" sheetId="2" r:id="rId4"/>
    <sheet name="Sommaire des résultats" sheetId="4" r:id="rId5"/>
  </sheets>
  <definedNames>
    <definedName name="_xlnm.Print_Titles" localSheetId="2">'DONNÉES À ENTRER'!$1:$3</definedName>
    <definedName name="_xlnm.Print_Titles" localSheetId="3">'Grille de calculs - PATERNELLE'!$3:$5</definedName>
    <definedName name="_xlnm.Print_Area" localSheetId="2">'DONNÉES À ENTRER'!$A$1:$H$140</definedName>
    <definedName name="_xlnm.Print_Area" localSheetId="4">'Sommaire des résultats'!$A$1:$E$17</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2" l="1"/>
  <c r="E56" i="2" l="1"/>
  <c r="G56" i="2"/>
  <c r="D56" i="2"/>
  <c r="H56" i="2" l="1"/>
  <c r="I56" i="2"/>
  <c r="P55" i="2"/>
  <c r="P36" i="2"/>
  <c r="J66" i="1" l="1"/>
  <c r="J64" i="1"/>
  <c r="J62" i="1"/>
  <c r="J60" i="1"/>
  <c r="J58" i="1"/>
  <c r="J56" i="1"/>
  <c r="D127" i="1" l="1"/>
  <c r="D101" i="1"/>
  <c r="D108" i="1"/>
  <c r="B118" i="1"/>
  <c r="D118" i="1"/>
  <c r="L66" i="1" l="1"/>
  <c r="L64" i="1"/>
  <c r="K8" i="2" s="1"/>
  <c r="K9" i="2" s="1"/>
  <c r="L62" i="1"/>
  <c r="L60" i="1"/>
  <c r="L58" i="1"/>
  <c r="L56" i="1"/>
  <c r="M8" i="2" l="1"/>
  <c r="L8" i="2"/>
  <c r="L9" i="2" s="1"/>
  <c r="E8" i="2"/>
  <c r="E9" i="2" s="1"/>
  <c r="F8" i="2"/>
  <c r="D8" i="2"/>
  <c r="D9" i="2" s="1"/>
  <c r="D83" i="2"/>
  <c r="D140" i="1"/>
  <c r="D139" i="1"/>
  <c r="D138" i="1"/>
  <c r="D137" i="1"/>
  <c r="B140" i="1"/>
  <c r="B139" i="1"/>
  <c r="B138" i="1"/>
  <c r="B137" i="1"/>
  <c r="E83" i="2" s="1"/>
  <c r="I78" i="2"/>
  <c r="I61" i="2" l="1"/>
  <c r="I41" i="2"/>
  <c r="I24" i="2"/>
  <c r="L75" i="2"/>
  <c r="L70" i="2"/>
  <c r="L69" i="2"/>
  <c r="K75" i="2"/>
  <c r="P38" i="2"/>
  <c r="P39" i="2"/>
  <c r="P40" i="2"/>
  <c r="P43" i="2"/>
  <c r="P44" i="2"/>
  <c r="P46" i="2"/>
  <c r="P47" i="2"/>
  <c r="P21" i="2"/>
  <c r="P22" i="2"/>
  <c r="P23" i="2"/>
  <c r="P26" i="2"/>
  <c r="P27" i="2"/>
  <c r="P29" i="2"/>
  <c r="P30" i="2"/>
  <c r="P31" i="2"/>
  <c r="P32" i="2"/>
  <c r="M62" i="2"/>
  <c r="M42" i="2"/>
  <c r="D71" i="1"/>
  <c r="D69" i="1" l="1"/>
  <c r="D68" i="1"/>
  <c r="M25" i="2"/>
  <c r="K20" i="2"/>
  <c r="M76" i="2"/>
  <c r="D70" i="1"/>
  <c r="L13" i="2"/>
  <c r="M19" i="2"/>
  <c r="P82" i="2"/>
  <c r="P81" i="2"/>
  <c r="P79" i="2"/>
  <c r="P75" i="2"/>
  <c r="P74" i="2"/>
  <c r="P73" i="2"/>
  <c r="P72" i="2"/>
  <c r="P71" i="2"/>
  <c r="P70" i="2"/>
  <c r="P69" i="2"/>
  <c r="P68" i="2"/>
  <c r="P67" i="2"/>
  <c r="P66" i="2"/>
  <c r="P65" i="2"/>
  <c r="P64" i="2"/>
  <c r="P60" i="2"/>
  <c r="P59" i="2"/>
  <c r="P58" i="2"/>
  <c r="P52" i="2"/>
  <c r="O51" i="2"/>
  <c r="P50" i="2"/>
  <c r="O49" i="2"/>
  <c r="O48" i="2"/>
  <c r="P17" i="2"/>
  <c r="P14" i="2"/>
  <c r="P13" i="2"/>
  <c r="P10" i="2"/>
  <c r="P9" i="2"/>
  <c r="P7" i="2"/>
  <c r="L28" i="2" l="1"/>
  <c r="L35" i="2" s="1"/>
  <c r="L20" i="2"/>
  <c r="N16" i="2"/>
  <c r="N15" i="2"/>
  <c r="K13" i="2"/>
  <c r="K19" i="2"/>
  <c r="N19" i="2"/>
  <c r="N18" i="2"/>
  <c r="N20" i="2"/>
  <c r="L19" i="2"/>
  <c r="M20" i="2"/>
  <c r="L45" i="2"/>
  <c r="L76" i="2" s="1"/>
  <c r="M28" i="2"/>
  <c r="K12" i="2"/>
  <c r="L12" i="2"/>
  <c r="M12" i="2"/>
  <c r="K28" i="2"/>
  <c r="K45" i="2"/>
  <c r="K76" i="2" s="1"/>
  <c r="I10" i="2"/>
  <c r="D75" i="1"/>
  <c r="D44" i="1"/>
  <c r="D45" i="1" s="1"/>
  <c r="D46" i="1" s="1"/>
  <c r="L33" i="2" l="1"/>
  <c r="K53" i="2"/>
  <c r="K54" i="2"/>
  <c r="K57" i="2"/>
  <c r="K35" i="2"/>
  <c r="K33" i="2"/>
  <c r="N34" i="2"/>
  <c r="O34" i="2" s="1"/>
  <c r="N33" i="2"/>
  <c r="O33" i="2" s="1"/>
  <c r="M33" i="2"/>
  <c r="M35" i="2"/>
  <c r="N37" i="2"/>
  <c r="O37" i="2" s="1"/>
  <c r="N35" i="2"/>
  <c r="O35" i="2" s="1"/>
  <c r="L66" i="2"/>
  <c r="L53" i="2"/>
  <c r="L54" i="2"/>
  <c r="L57" i="2"/>
  <c r="M45" i="2"/>
  <c r="K66" i="2"/>
  <c r="H49" i="2"/>
  <c r="I7" i="2"/>
  <c r="I9" i="2"/>
  <c r="I13" i="2"/>
  <c r="I14" i="2"/>
  <c r="I17" i="2"/>
  <c r="I21" i="2"/>
  <c r="I22" i="2"/>
  <c r="I23" i="2"/>
  <c r="I26" i="2"/>
  <c r="I27" i="2"/>
  <c r="I29" i="2"/>
  <c r="I30" i="2"/>
  <c r="I31" i="2"/>
  <c r="I32" i="2"/>
  <c r="I36" i="2"/>
  <c r="I38" i="2"/>
  <c r="I39" i="2"/>
  <c r="I40" i="2"/>
  <c r="I43" i="2"/>
  <c r="I44" i="2"/>
  <c r="I46" i="2"/>
  <c r="I47" i="2"/>
  <c r="I50" i="2"/>
  <c r="I52" i="2"/>
  <c r="I55" i="2"/>
  <c r="I58" i="2"/>
  <c r="I59" i="2"/>
  <c r="I60" i="2"/>
  <c r="I64" i="2"/>
  <c r="I65" i="2"/>
  <c r="I66" i="2"/>
  <c r="I67" i="2"/>
  <c r="I68" i="2"/>
  <c r="I69" i="2"/>
  <c r="I70" i="2"/>
  <c r="I71" i="2"/>
  <c r="I72" i="2"/>
  <c r="I73" i="2"/>
  <c r="I74" i="2"/>
  <c r="I75" i="2"/>
  <c r="I79" i="2"/>
  <c r="I81" i="2"/>
  <c r="I82" i="2"/>
  <c r="H51" i="2"/>
  <c r="H48" i="2"/>
  <c r="D5" i="4"/>
  <c r="B5" i="4"/>
  <c r="P33" i="2" l="1"/>
  <c r="N53" i="2"/>
  <c r="O53" i="2" s="1"/>
  <c r="N63" i="2"/>
  <c r="N57" i="2"/>
  <c r="O57" i="2" s="1"/>
  <c r="N54" i="2"/>
  <c r="O54" i="2" s="1"/>
  <c r="P35" i="2"/>
  <c r="M57" i="2"/>
  <c r="M54" i="2"/>
  <c r="M53" i="2"/>
  <c r="K72" i="2"/>
  <c r="K70" i="2"/>
  <c r="K68" i="2"/>
  <c r="K74" i="2"/>
  <c r="K69" i="2"/>
  <c r="K73" i="2"/>
  <c r="L74" i="2"/>
  <c r="L73" i="2"/>
  <c r="D75" i="2"/>
  <c r="B75" i="1"/>
  <c r="P53" i="2" l="1"/>
  <c r="P54" i="2"/>
  <c r="N76" i="2"/>
  <c r="O63" i="2"/>
  <c r="P57" i="2"/>
  <c r="E75" i="2"/>
  <c r="N77" i="2" l="1"/>
  <c r="O77" i="2" s="1"/>
  <c r="O76" i="2"/>
  <c r="P76" i="2"/>
  <c r="B51" i="1"/>
  <c r="B53" i="1" s="1"/>
  <c r="B18" i="1" l="1"/>
  <c r="B17" i="1"/>
  <c r="F63" i="2" l="1"/>
  <c r="F76" i="2"/>
  <c r="D51" i="1"/>
  <c r="D53" i="1" s="1"/>
  <c r="D54" i="1" s="1"/>
  <c r="B44" i="1"/>
  <c r="B45" i="1" s="1"/>
  <c r="D34" i="1"/>
  <c r="B34" i="1"/>
  <c r="F42" i="2"/>
  <c r="P42" i="2" s="1"/>
  <c r="F25" i="2"/>
  <c r="P25" i="2" s="1"/>
  <c r="F62" i="2"/>
  <c r="L37" i="2" l="1"/>
  <c r="K37" i="2"/>
  <c r="M37" i="2"/>
  <c r="P37" i="2" s="1"/>
  <c r="L77" i="2"/>
  <c r="K77" i="2"/>
  <c r="M77" i="2"/>
  <c r="P77" i="2" s="1"/>
  <c r="I42" i="2"/>
  <c r="I62" i="2"/>
  <c r="P62" i="2"/>
  <c r="E12" i="2"/>
  <c r="B6" i="4"/>
  <c r="D12" i="2"/>
  <c r="I25" i="2"/>
  <c r="D7" i="4"/>
  <c r="D6" i="4"/>
  <c r="D13" i="2"/>
  <c r="B7" i="4"/>
  <c r="B46" i="1"/>
  <c r="B54" i="1" s="1"/>
  <c r="E15" i="2"/>
  <c r="D15" i="2"/>
  <c r="B8" i="4" l="1"/>
  <c r="C8" i="4" s="1"/>
  <c r="E70" i="2"/>
  <c r="E69" i="2"/>
  <c r="D17" i="1" l="1"/>
  <c r="D18" i="1"/>
  <c r="K16" i="2" l="1"/>
  <c r="L16" i="2"/>
  <c r="M16" i="2"/>
  <c r="K15" i="2"/>
  <c r="M15" i="2"/>
  <c r="L15" i="2"/>
  <c r="I8" i="2" l="1"/>
  <c r="P8" i="2"/>
  <c r="F12" i="2"/>
  <c r="F28" i="2"/>
  <c r="P28" i="2" s="1"/>
  <c r="F16" i="2"/>
  <c r="G18" i="2"/>
  <c r="G16" i="2"/>
  <c r="F15" i="2"/>
  <c r="G20" i="2"/>
  <c r="G19" i="2"/>
  <c r="G15" i="2"/>
  <c r="H15" i="2" s="1"/>
  <c r="D45" i="2"/>
  <c r="D76" i="2" s="1"/>
  <c r="D28" i="2"/>
  <c r="D20" i="2"/>
  <c r="D19" i="2"/>
  <c r="E16" i="2"/>
  <c r="E20" i="2"/>
  <c r="E19" i="2"/>
  <c r="E45" i="2"/>
  <c r="E76" i="2" s="1"/>
  <c r="E28" i="2"/>
  <c r="F19" i="2"/>
  <c r="F20" i="2"/>
  <c r="E13" i="2"/>
  <c r="D8" i="4" l="1"/>
  <c r="E8" i="4" s="1"/>
  <c r="P20" i="2"/>
  <c r="O15" i="2"/>
  <c r="H18" i="2"/>
  <c r="O18" i="2"/>
  <c r="H20" i="2"/>
  <c r="O20" i="2"/>
  <c r="P16" i="2"/>
  <c r="H16" i="2"/>
  <c r="O16" i="2"/>
  <c r="P12" i="2"/>
  <c r="I12" i="2"/>
  <c r="H19" i="2"/>
  <c r="O19" i="2"/>
  <c r="P19" i="2"/>
  <c r="P15" i="2"/>
  <c r="I28" i="2"/>
  <c r="I19" i="2"/>
  <c r="I16" i="2"/>
  <c r="I15" i="2"/>
  <c r="I20" i="2"/>
  <c r="E66" i="2"/>
  <c r="D66" i="2"/>
  <c r="F45" i="2"/>
  <c r="G63" i="2" s="1"/>
  <c r="G35" i="2"/>
  <c r="G34" i="2"/>
  <c r="G37" i="2"/>
  <c r="G33" i="2"/>
  <c r="D37" i="2"/>
  <c r="D33" i="2"/>
  <c r="D35" i="2"/>
  <c r="E33" i="2"/>
  <c r="E37" i="2"/>
  <c r="E35" i="2"/>
  <c r="F37" i="2"/>
  <c r="F33" i="2"/>
  <c r="F35" i="2"/>
  <c r="G57" i="2" l="1"/>
  <c r="G54" i="2"/>
  <c r="G53" i="2"/>
  <c r="H53" i="2" s="1"/>
  <c r="P45" i="2"/>
  <c r="L83" i="2"/>
  <c r="D9" i="4"/>
  <c r="E9" i="4" s="1"/>
  <c r="H37" i="2"/>
  <c r="H34" i="2"/>
  <c r="I35" i="2"/>
  <c r="H35" i="2"/>
  <c r="I33" i="2"/>
  <c r="H33" i="2"/>
  <c r="I45" i="2"/>
  <c r="I37" i="2"/>
  <c r="B15" i="4"/>
  <c r="C15" i="4" s="1"/>
  <c r="F53" i="2"/>
  <c r="F54" i="2"/>
  <c r="F57" i="2"/>
  <c r="B12" i="4" l="1"/>
  <c r="K83" i="2"/>
  <c r="M63" i="2"/>
  <c r="P63" i="2" s="1"/>
  <c r="H57" i="2"/>
  <c r="H54" i="2"/>
  <c r="I57" i="2"/>
  <c r="I53" i="2"/>
  <c r="I54" i="2"/>
  <c r="G76" i="2"/>
  <c r="H63" i="2"/>
  <c r="D16" i="4" s="1"/>
  <c r="E16" i="4" s="1"/>
  <c r="I63" i="2"/>
  <c r="B16" i="4"/>
  <c r="C16" i="4" s="1"/>
  <c r="B71" i="1"/>
  <c r="B69" i="1"/>
  <c r="B70" i="1"/>
  <c r="B68" i="1"/>
  <c r="D81" i="2" l="1"/>
  <c r="G77" i="2"/>
  <c r="H76" i="2"/>
  <c r="D13" i="4" s="1"/>
  <c r="E13" i="4" s="1"/>
  <c r="I76" i="2"/>
  <c r="B13" i="4"/>
  <c r="C13" i="4" s="1"/>
  <c r="D20" i="1"/>
  <c r="K18" i="2" l="1"/>
  <c r="M18" i="2"/>
  <c r="L18" i="2"/>
  <c r="H77" i="2"/>
  <c r="B20" i="1"/>
  <c r="E18" i="2" l="1"/>
  <c r="F18" i="2"/>
  <c r="D18" i="2"/>
  <c r="P18" i="2" l="1"/>
  <c r="I18" i="2"/>
  <c r="L34" i="2" l="1"/>
  <c r="M34" i="2"/>
  <c r="K34" i="2"/>
  <c r="E34" i="2"/>
  <c r="F34" i="2"/>
  <c r="D34" i="2"/>
  <c r="E57" i="2"/>
  <c r="E54" i="2"/>
  <c r="E53" i="2"/>
  <c r="D53" i="2"/>
  <c r="D57" i="2"/>
  <c r="D54" i="2"/>
  <c r="D72" i="2"/>
  <c r="P34" i="2" l="1"/>
  <c r="I34" i="2"/>
  <c r="D11" i="4"/>
  <c r="E11" i="4" s="1"/>
  <c r="E73" i="2"/>
  <c r="D12" i="4" s="1"/>
  <c r="D74" i="2"/>
  <c r="D73" i="2"/>
  <c r="D70" i="2"/>
  <c r="D69" i="2"/>
  <c r="D68" i="2"/>
  <c r="E74" i="2"/>
  <c r="B11" i="4" l="1"/>
  <c r="C11" i="4" s="1"/>
  <c r="C12" i="4"/>
  <c r="E12" i="4"/>
  <c r="F77" i="2"/>
  <c r="D77" i="2"/>
  <c r="E77" i="2"/>
  <c r="E10" i="1"/>
  <c r="E11" i="1"/>
  <c r="E12" i="1"/>
  <c r="E13" i="1"/>
  <c r="E14" i="1"/>
  <c r="E15" i="1"/>
  <c r="E16" i="1"/>
  <c r="E9" i="1"/>
  <c r="E6" i="1"/>
  <c r="E7" i="1"/>
  <c r="E5" i="1"/>
  <c r="I77" i="2" l="1"/>
  <c r="D14" i="4"/>
  <c r="E14" i="4" s="1"/>
  <c r="B14" i="4"/>
  <c r="C14" i="4" s="1"/>
  <c r="B92" i="1"/>
  <c r="D30" i="2" s="1"/>
  <c r="B101" i="1"/>
  <c r="B127" i="1"/>
  <c r="B108" i="1"/>
  <c r="F49" i="2" l="1"/>
  <c r="P49" i="2" s="1"/>
  <c r="E49" i="2"/>
  <c r="D51" i="2"/>
  <c r="F51" i="2"/>
  <c r="D92" i="1"/>
  <c r="K30" i="2" s="1"/>
  <c r="E31" i="2"/>
  <c r="F48" i="2"/>
  <c r="D48" i="2"/>
  <c r="E80" i="2" l="1"/>
  <c r="I49" i="2"/>
  <c r="M48" i="2"/>
  <c r="K48" i="2"/>
  <c r="L31" i="2"/>
  <c r="M51" i="2"/>
  <c r="K51" i="2"/>
  <c r="P48" i="2"/>
  <c r="F80" i="2"/>
  <c r="E81" i="2" s="1"/>
  <c r="L49" i="2"/>
  <c r="M49" i="2"/>
  <c r="I51" i="2"/>
  <c r="P51" i="2"/>
  <c r="B10" i="4"/>
  <c r="C10" i="4" s="1"/>
  <c r="D10" i="4"/>
  <c r="I48" i="2"/>
  <c r="K81" i="2" l="1"/>
  <c r="M80" i="2"/>
  <c r="K80" i="2"/>
  <c r="L80" i="2"/>
  <c r="E10" i="4"/>
  <c r="D16" i="2"/>
  <c r="D80" i="2" s="1"/>
  <c r="L81" i="2" l="1"/>
  <c r="N80" i="2" s="1"/>
  <c r="K82" i="2"/>
  <c r="K84" i="2" s="1"/>
  <c r="B9" i="4"/>
  <c r="D82" i="2"/>
  <c r="D84" i="2" s="1"/>
  <c r="E82" i="2"/>
  <c r="G80" i="2"/>
  <c r="L82" i="2" l="1"/>
  <c r="L84" i="2" s="1"/>
  <c r="I80" i="2"/>
  <c r="P80" i="2"/>
  <c r="C9" i="4"/>
  <c r="C17" i="4" s="1"/>
  <c r="B17" i="4"/>
  <c r="E84" i="2"/>
  <c r="D15" i="4" l="1"/>
  <c r="E15" i="4" l="1"/>
  <c r="E17" i="4" s="1"/>
  <c r="D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Societe</author>
  </authors>
  <commentList>
    <comment ref="A44" authorId="0" shapeId="0" xr:uid="{00000000-0006-0000-0200-000001000000}">
      <text>
        <r>
          <rPr>
            <b/>
            <sz val="9"/>
            <color indexed="81"/>
            <rFont val="Tahoma"/>
            <family val="2"/>
          </rPr>
          <t>Societe:</t>
        </r>
        <r>
          <rPr>
            <sz val="9"/>
            <color indexed="81"/>
            <rFont val="Tahoma"/>
            <family val="2"/>
          </rPr>
          <t xml:space="preserve">
cacher</t>
        </r>
      </text>
    </comment>
    <comment ref="A128" authorId="0" shapeId="0" xr:uid="{00000000-0006-0000-0200-000002000000}">
      <text>
        <r>
          <rPr>
            <b/>
            <sz val="9"/>
            <color indexed="81"/>
            <rFont val="Tahoma"/>
            <family val="2"/>
          </rPr>
          <t>Societe:</t>
        </r>
        <r>
          <rPr>
            <sz val="9"/>
            <color indexed="81"/>
            <rFont val="Tahoma"/>
            <family val="2"/>
          </rPr>
          <t xml:space="preserve">
voir pour cacher</t>
        </r>
      </text>
    </comment>
  </commentList>
</comments>
</file>

<file path=xl/sharedStrings.xml><?xml version="1.0" encoding="utf-8"?>
<sst xmlns="http://schemas.openxmlformats.org/spreadsheetml/2006/main" count="751" uniqueCount="304">
  <si>
    <t xml:space="preserve">Étapes </t>
  </si>
  <si>
    <t>Troupeaux de 100 brebis pur sang</t>
  </si>
  <si>
    <t>Agneaux</t>
  </si>
  <si>
    <t>Agnelles</t>
  </si>
  <si>
    <t>Colonne2</t>
  </si>
  <si>
    <t>Colonne3</t>
  </si>
  <si>
    <t>$</t>
  </si>
  <si>
    <t xml:space="preserve">Vente des animaux </t>
  </si>
  <si>
    <t>(=) Coût d'élevage par sujet sélectionné</t>
  </si>
  <si>
    <t>Espace supplémentaire en bâtiment</t>
  </si>
  <si>
    <t>$/mètre carré</t>
  </si>
  <si>
    <t>$/heure</t>
  </si>
  <si>
    <t>têtes</t>
  </si>
  <si>
    <t>$/agneau</t>
  </si>
  <si>
    <t>$/kg</t>
  </si>
  <si>
    <t>kg/jour</t>
  </si>
  <si>
    <t>Minéraux</t>
  </si>
  <si>
    <t>Temps supplémentaire</t>
  </si>
  <si>
    <t>Société des éleveurs de moutons de race pure du Québec</t>
  </si>
  <si>
    <t>Votre calcul</t>
  </si>
  <si>
    <t>%</t>
  </si>
  <si>
    <t>agneaux</t>
  </si>
  <si>
    <t>jours</t>
  </si>
  <si>
    <t>$/Kg</t>
  </si>
  <si>
    <t>$/tête</t>
  </si>
  <si>
    <t xml:space="preserve">Société des éleveurs de moutons de race pure du Québec </t>
  </si>
  <si>
    <t>Unités</t>
  </si>
  <si>
    <t>Données considérées</t>
  </si>
  <si>
    <t>Sources</t>
  </si>
  <si>
    <t>Nombre</t>
  </si>
  <si>
    <t>Type</t>
  </si>
  <si>
    <t>VOS DONNÉES</t>
  </si>
  <si>
    <t>Description des données requises</t>
  </si>
  <si>
    <t xml:space="preserve">Taille du troupeau </t>
  </si>
  <si>
    <t>brebis</t>
  </si>
  <si>
    <t>mètre carrés</t>
  </si>
  <si>
    <t>Taux de sélection des animaux</t>
  </si>
  <si>
    <t>Alimentation des agneaux</t>
  </si>
  <si>
    <t>Compensation nette ASRA</t>
  </si>
  <si>
    <t>Compensation ASRA</t>
  </si>
  <si>
    <t>Cotisation ASRA</t>
  </si>
  <si>
    <t>Montant net par agneau</t>
  </si>
  <si>
    <t>Alimentation des agnelles</t>
  </si>
  <si>
    <t>Frais administratifs</t>
  </si>
  <si>
    <t>Calcul</t>
  </si>
  <si>
    <t>Nombre d'agneaux sevrés par brebis par année</t>
  </si>
  <si>
    <t>Coût d'achat d'une femelle de race pure</t>
  </si>
  <si>
    <t>Coût d'achat d'un bélier de race pure</t>
  </si>
  <si>
    <t>Coût d'achat d'un bélier en situation commerciale</t>
  </si>
  <si>
    <t>Âge de réforme d'une brebis de race pure</t>
  </si>
  <si>
    <t>Âge de réforme d'un bélier de race pure</t>
  </si>
  <si>
    <t>Âge de réforme d'une brebis en situation commerciale</t>
  </si>
  <si>
    <t>Âge de réforme d'un bélier en situation commerciale</t>
  </si>
  <si>
    <t>Coût d'achat d'une brebis en situation commerciale</t>
  </si>
  <si>
    <t>CEPOQ - Performances annuelles du programme GenOvis par race pour les agneaux nés en 2016</t>
  </si>
  <si>
    <t>Société des éleveurs de moutons de race pure du Québec - Moyenne des 3 dernières années (Vente SEMRPQ et Vente Classique)</t>
  </si>
  <si>
    <t>Enquête des entreprises dans le cadre de l'Étude sur le coût de production des sujets reproducteurs (SEMRPQ, 2015)</t>
  </si>
  <si>
    <t>CRAAQ - Budget ovin, mars 2014</t>
  </si>
  <si>
    <t>CRAAQ - Coût de construction d'une bergerie clé en main, 2015</t>
  </si>
  <si>
    <t>CRAAQ - Loyer annuel, 2015</t>
  </si>
  <si>
    <t>Coût d'élevage et de sélection des reproducteurs de génétique supérieure en production ovine - CRAAQ, avril 2005</t>
  </si>
  <si>
    <t>ans</t>
  </si>
  <si>
    <t>Coût supplémentaire par agneau pour la génétique de la brebis</t>
  </si>
  <si>
    <t>Coût supplémentaire par agneau pour la génétique du bélier</t>
  </si>
  <si>
    <t>% de la superficie totale en bâtiment non isolé</t>
  </si>
  <si>
    <t>% de la superficie totale en bâtiment isolé</t>
  </si>
  <si>
    <t>Coût de construction par mètre carré en bâtiment isolé</t>
  </si>
  <si>
    <t>Coût de construction par mètre carré en bâtiment non isolé</t>
  </si>
  <si>
    <t>Coût moyen de construction par mètre carré</t>
  </si>
  <si>
    <t>Calcul du DIRTA (Dépréciation/Intérêts/Réparations/Taxes/Assurances)</t>
  </si>
  <si>
    <t>Coût de construction tenant compte de la proportion «isolé/non-isolé»</t>
  </si>
  <si>
    <t>Amortisement avec espace supplémentaire et DIRTA</t>
  </si>
  <si>
    <t>Planification de l'accouplement avec GenOvis pour la mise à la saillie</t>
  </si>
  <si>
    <t>Génotypage</t>
  </si>
  <si>
    <t>Montant net par kilogramme</t>
  </si>
  <si>
    <t>Céréales</t>
  </si>
  <si>
    <t>Suppléments</t>
  </si>
  <si>
    <t>Nombre de jours</t>
  </si>
  <si>
    <t>Coût total calculé de la ration d'un agneau pour la période</t>
  </si>
  <si>
    <t>Coût total calculé de la ration d'une agnelle pour la période</t>
  </si>
  <si>
    <t>$/agnelle</t>
  </si>
  <si>
    <t xml:space="preserve">$/kg </t>
  </si>
  <si>
    <t>Enregistrement</t>
  </si>
  <si>
    <t>Transfert d'enregistrement</t>
  </si>
  <si>
    <t>Classification officielle</t>
  </si>
  <si>
    <t>Fourrages, en Tel que servi</t>
  </si>
  <si>
    <t>Avoine</t>
  </si>
  <si>
    <t>Orge</t>
  </si>
  <si>
    <t>Maïs-grain sec</t>
  </si>
  <si>
    <r>
      <t>Étape 2 - Vers la 2</t>
    </r>
    <r>
      <rPr>
        <b/>
        <vertAlign val="superscript"/>
        <sz val="14"/>
        <color theme="0"/>
        <rFont val="Calibri"/>
        <family val="2"/>
        <scheme val="minor"/>
      </rPr>
      <t>e</t>
    </r>
    <r>
      <rPr>
        <b/>
        <sz val="14"/>
        <color theme="0"/>
        <rFont val="Calibri"/>
        <family val="2"/>
        <scheme val="minor"/>
      </rPr>
      <t xml:space="preserve"> sélection</t>
    </r>
  </si>
  <si>
    <r>
      <t>Étape 3 - Vers la 3</t>
    </r>
    <r>
      <rPr>
        <b/>
        <vertAlign val="superscript"/>
        <sz val="14"/>
        <color theme="0"/>
        <rFont val="Calibri"/>
        <family val="2"/>
        <scheme val="minor"/>
      </rPr>
      <t>e</t>
    </r>
    <r>
      <rPr>
        <b/>
        <sz val="14"/>
        <color theme="0"/>
        <rFont val="Calibri"/>
        <family val="2"/>
        <scheme val="minor"/>
      </rPr>
      <t xml:space="preserve"> sélection</t>
    </r>
  </si>
  <si>
    <t>Étape 4 - Vers la vente des sujets reproducteurs sélectionnés</t>
  </si>
  <si>
    <r>
      <t>Étape 1 - Production de départ et 1</t>
    </r>
    <r>
      <rPr>
        <b/>
        <vertAlign val="superscript"/>
        <sz val="14"/>
        <color theme="0"/>
        <rFont val="Calibri"/>
        <family val="2"/>
        <scheme val="minor"/>
      </rPr>
      <t>ère</t>
    </r>
    <r>
      <rPr>
        <b/>
        <sz val="14"/>
        <color theme="0"/>
        <rFont val="Calibri"/>
        <family val="2"/>
        <scheme val="minor"/>
      </rPr>
      <t xml:space="preserve"> sélection</t>
    </r>
  </si>
  <si>
    <t>1.1</t>
  </si>
  <si>
    <t>1.2</t>
  </si>
  <si>
    <t>1.3</t>
  </si>
  <si>
    <t>2.1</t>
  </si>
  <si>
    <t>2.2</t>
  </si>
  <si>
    <t>3.1</t>
  </si>
  <si>
    <t>3.2</t>
  </si>
  <si>
    <t>3.3</t>
  </si>
  <si>
    <t xml:space="preserve">$/tête  </t>
  </si>
  <si>
    <t>minutes/agneau</t>
  </si>
  <si>
    <t>Communication Raymond Deshaies/Israël Michaud, techniciens du CDPQ, 27 octobre 2017</t>
  </si>
  <si>
    <t xml:space="preserve">Estimé à partir des Tarifs 2017 - Centre d'expertise en production ovine du Québec - </t>
  </si>
  <si>
    <t>Flexible</t>
  </si>
  <si>
    <t>Fixe</t>
  </si>
  <si>
    <t>Compléter Céréales/Suppléments/Minéraux  OU  Moulée complète</t>
  </si>
  <si>
    <t>OU... Moulée complète</t>
  </si>
  <si>
    <t>OU… Moulée complète</t>
  </si>
  <si>
    <t>2.3</t>
  </si>
  <si>
    <t>3.4</t>
  </si>
  <si>
    <t>4.1</t>
  </si>
  <si>
    <t>4.2</t>
  </si>
  <si>
    <t>Frais d'alimentation de 8 à 12 mois</t>
  </si>
  <si>
    <t xml:space="preserve">Coût supplémentaire pour les brebis </t>
  </si>
  <si>
    <t>Coût supplémentaire pour les béliers</t>
  </si>
  <si>
    <t xml:space="preserve">Pesée à 50 jours </t>
  </si>
  <si>
    <t>Têtes</t>
  </si>
  <si>
    <t>Pesée à 100 jours</t>
  </si>
  <si>
    <r>
      <t>1</t>
    </r>
    <r>
      <rPr>
        <vertAlign val="superscript"/>
        <sz val="11"/>
        <rFont val="Calibri"/>
        <family val="2"/>
        <scheme val="minor"/>
      </rPr>
      <t>ère</t>
    </r>
    <r>
      <rPr>
        <sz val="11"/>
        <rFont val="Calibri"/>
        <family val="2"/>
        <scheme val="minor"/>
      </rPr>
      <t xml:space="preserve"> sélection</t>
    </r>
  </si>
  <si>
    <r>
      <t>2</t>
    </r>
    <r>
      <rPr>
        <vertAlign val="superscript"/>
        <sz val="11"/>
        <rFont val="Calibri"/>
        <family val="2"/>
        <scheme val="minor"/>
      </rPr>
      <t>e</t>
    </r>
    <r>
      <rPr>
        <sz val="11"/>
        <rFont val="Calibri"/>
        <family val="2"/>
        <scheme val="minor"/>
      </rPr>
      <t xml:space="preserve"> sélection</t>
    </r>
  </si>
  <si>
    <t xml:space="preserve">Taille des onglons et tonte </t>
  </si>
  <si>
    <t>Pesée à 50 jours</t>
  </si>
  <si>
    <r>
      <t>1</t>
    </r>
    <r>
      <rPr>
        <vertAlign val="superscript"/>
        <sz val="11"/>
        <color theme="1"/>
        <rFont val="Calibri"/>
        <family val="2"/>
        <scheme val="minor"/>
      </rPr>
      <t>ère</t>
    </r>
    <r>
      <rPr>
        <sz val="11"/>
        <color theme="1"/>
        <rFont val="Calibri"/>
        <family val="2"/>
        <scheme val="minor"/>
      </rPr>
      <t xml:space="preserve"> sélection</t>
    </r>
  </si>
  <si>
    <r>
      <t>2</t>
    </r>
    <r>
      <rPr>
        <vertAlign val="superscript"/>
        <sz val="11"/>
        <color theme="1"/>
        <rFont val="Calibri"/>
        <family val="2"/>
        <scheme val="minor"/>
      </rPr>
      <t>e</t>
    </r>
    <r>
      <rPr>
        <sz val="11"/>
        <color theme="1"/>
        <rFont val="Calibri"/>
        <family val="2"/>
        <scheme val="minor"/>
      </rPr>
      <t xml:space="preserve"> sélection</t>
    </r>
  </si>
  <si>
    <t>Enregistrement, ATQ et déclarations</t>
  </si>
  <si>
    <t>Mesures aux ultrasons</t>
  </si>
  <si>
    <t>Vente des animaux</t>
  </si>
  <si>
    <t>Mesures aux ultrasons, au tarif avantageux</t>
  </si>
  <si>
    <t>Description</t>
  </si>
  <si>
    <t>Investissement supplémentaire en race pure</t>
  </si>
  <si>
    <t>agnelles</t>
  </si>
  <si>
    <t>% agneaux</t>
  </si>
  <si>
    <t>% agnelles</t>
  </si>
  <si>
    <t>Inscrire le prix d'UNE SEULE céréale ci-bas, soit la principale utilisée.</t>
  </si>
  <si>
    <t>Vente de sujets en agneaux lourds</t>
  </si>
  <si>
    <t>Agnelles4</t>
  </si>
  <si>
    <t>1ère sélection: nombre d'agneaux vendus en lait ou légers</t>
  </si>
  <si>
    <t>1ère sélection: nombre d'agnelles vendues en lait ou légers</t>
  </si>
  <si>
    <t>2e sélection: nombre d'agneaux vendus en agneaux lourds</t>
  </si>
  <si>
    <t>2e sélection: nombre d'agnelles vendues en agneaux lourds</t>
  </si>
  <si>
    <t>3e sélection: nombre d'agneaux vendus en réformes</t>
  </si>
  <si>
    <t>3e sélection: nombre d'agnelles vendues en réformes</t>
  </si>
  <si>
    <t>Prix des fourrages et des grains</t>
  </si>
  <si>
    <t>Colonne4</t>
  </si>
  <si>
    <t xml:space="preserve">Taux horaire ajusté au revenu stabilisé </t>
  </si>
  <si>
    <t>-</t>
  </si>
  <si>
    <t>Pourcentage estimé d'espace supplémentaire en race pure par rapport à une situation commerciale (peut être 0).</t>
  </si>
  <si>
    <t>Classification officielle sur la conformation des agneaux (mâles)</t>
  </si>
  <si>
    <t xml:space="preserve">CECPA - Coût de production ovin 2016 </t>
  </si>
  <si>
    <t>CECPA - Coût de production ovin 2016</t>
  </si>
  <si>
    <t>Vente avec le client, publicité, développement des relations d'affaire (par agneau; par groupe d'agnelles restantes vendues)</t>
  </si>
  <si>
    <t>Mesures aux ultrasons (temps moyen par agneau)</t>
  </si>
  <si>
    <t>Classification officielle sur la conformation pour les agneaux seulement</t>
  </si>
  <si>
    <t>Vente avec le client, publicité, développement des relations d'affaire  (par mâle; par groupe de femelles)</t>
  </si>
  <si>
    <t>Coût de production ajusté d'un agneau de lait (75 jours; 23,8 kg)</t>
  </si>
  <si>
    <t>CECPA - Coût de production ovin 2016 ajusté selon les modalités du calcul du  revenu stabilisé</t>
  </si>
  <si>
    <t>Agnelles5</t>
  </si>
  <si>
    <t>Agnelles32</t>
  </si>
  <si>
    <t>Frais d'alimentation de 75 jours à 122 jours</t>
  </si>
  <si>
    <t>Agneaux: 75 jours à 122 jours</t>
  </si>
  <si>
    <t>Agnelles: 75 jours à 122 jours</t>
  </si>
  <si>
    <t>2e sélection :  Agneaux légers et lourds</t>
  </si>
  <si>
    <t>2.4</t>
  </si>
  <si>
    <t>Frais d'alimentation de 4 à 8 mois</t>
  </si>
  <si>
    <t>Agneaux: 4 mois à 8 mois</t>
  </si>
  <si>
    <t>Agnelles: 4 mois à 8 mois</t>
  </si>
  <si>
    <t xml:space="preserve">Agneaux: 8 à 12 mois </t>
  </si>
  <si>
    <t>% mâles</t>
  </si>
  <si>
    <t>4 à 8 mois</t>
  </si>
  <si>
    <t xml:space="preserve">3 à 4 mois </t>
  </si>
  <si>
    <t xml:space="preserve">8 à 12 mois </t>
  </si>
  <si>
    <t xml:space="preserve">4 à 8 mois </t>
  </si>
  <si>
    <t>Moulée Complète</t>
  </si>
  <si>
    <t>Superficie moyenne par brebis (incluant autres animaux)</t>
  </si>
  <si>
    <t>Superficie moyenne par brebis (incluant autres animaux) race pure</t>
  </si>
  <si>
    <t>$/brebis</t>
  </si>
  <si>
    <t>Écart entre commerciale et race pure par brebis</t>
  </si>
  <si>
    <t xml:space="preserve">Compensation ASRA nette </t>
  </si>
  <si>
    <t>Adaptée de CRAAQ - L'élevage du mouton, 2010</t>
  </si>
  <si>
    <t>$/année</t>
  </si>
  <si>
    <t>Montant net pour 1 agnelle de 40 kg (norme FADQ)</t>
  </si>
  <si>
    <t>Perte de revenus pour commercialisation de sujets non-admissibles à l'ASRA</t>
  </si>
  <si>
    <t>Marketing (publicité, catalogue, frais d'encan, …)</t>
  </si>
  <si>
    <t>Frais spécifiques engagés pour les autres agneaux qui ne sont pas vendus comme reproducteurs</t>
  </si>
  <si>
    <t>Fourrages à 85%  matière sèche</t>
  </si>
  <si>
    <t>% de matière sèche des fourrages de l'entreprise</t>
  </si>
  <si>
    <t>conserver et masquer</t>
  </si>
  <si>
    <t>Estimation basée sur des observations dans l'étude du CECPA 2016</t>
  </si>
  <si>
    <t>Génétique</t>
  </si>
  <si>
    <t>Alimentation</t>
  </si>
  <si>
    <t>Temps de travail</t>
  </si>
  <si>
    <t>Frais spécifiques</t>
  </si>
  <si>
    <t>Nombre de sujets reproducteurs à vendre</t>
  </si>
  <si>
    <t>% de sélection</t>
  </si>
  <si>
    <t>Nombre d'agneaux avant sélection</t>
  </si>
  <si>
    <t>Ajustements des frais fixes</t>
  </si>
  <si>
    <t>Compensation du programme ASRA</t>
  </si>
  <si>
    <t>% femelle</t>
  </si>
  <si>
    <t>Jeunes béliers vendus</t>
  </si>
  <si>
    <t>Agnelles reproductrices vendues</t>
  </si>
  <si>
    <t>((Ligne 10 / Ligne 14) - (Ligne 12 / Ligne 16)) / (Ligne 6 x 20 brebis)</t>
  </si>
  <si>
    <t>(Ligne 26 x Ligne 24 (%))+(Ligne 27 x Ligne 25 (%))</t>
  </si>
  <si>
    <t>Ligne 22 - Ligne 21</t>
  </si>
  <si>
    <t>(Ligne 28 x Ligne 29) / 100</t>
  </si>
  <si>
    <t>Taux de sélection total</t>
  </si>
  <si>
    <t>Coût de production ajusté au stade Agneau de lait (75 jours; 23,8 kg)</t>
  </si>
  <si>
    <t>Modèle de Référence</t>
  </si>
  <si>
    <t>((Ligne 9 / Ligne 13) - (Ligne 11 / Ligne 15)) / Ligne 6</t>
  </si>
  <si>
    <t>Fourrages - Tel que servi</t>
  </si>
  <si>
    <t>1.4</t>
  </si>
  <si>
    <t>Nombre de sujets gardés pendant cette étape</t>
  </si>
  <si>
    <t>Vente de sujets en agneaux de lait</t>
  </si>
  <si>
    <t>3e sélection : Réformes</t>
  </si>
  <si>
    <t xml:space="preserve">1ère sélection : Agneaux lait </t>
  </si>
  <si>
    <t>Vente de sujets à la réforme</t>
  </si>
  <si>
    <t>$/jour</t>
  </si>
  <si>
    <t>Ajustements des frais fixes non considérés</t>
  </si>
  <si>
    <t>4.3</t>
  </si>
  <si>
    <t>3.5</t>
  </si>
  <si>
    <t>La Financière agricole du Québec, 2016</t>
  </si>
  <si>
    <t>Montant net pour 1 jeune bélier de 48,2 kg (norme FADQ)</t>
  </si>
  <si>
    <t>Montant de cotisation que l'entreprise doit pour une agnelle</t>
  </si>
  <si>
    <t>Montant de cotisation que l'entreprise doit pour un jeune bélier</t>
  </si>
  <si>
    <t>Frais de marketing (publicité, catalogue, frais d'encan, etc.)</t>
  </si>
  <si>
    <t>(=) Total des coûts nets (Coûts - Ventes)</t>
  </si>
  <si>
    <t>Coût supplémentaire de remplacement</t>
  </si>
  <si>
    <t>Jeunes béliers</t>
  </si>
  <si>
    <t>Total à 12 mois</t>
  </si>
  <si>
    <t>Total à 8 mois</t>
  </si>
  <si>
    <t>$ / bélier</t>
  </si>
  <si>
    <t>$ / agnelle</t>
  </si>
  <si>
    <t>Coût de production ajusté - Agneau lait à 23,8 kg</t>
  </si>
  <si>
    <t>Espace en bâtiment supplémentaire</t>
  </si>
  <si>
    <t>Pertes de compensation ASRA pour sujets vendus trop vieux</t>
  </si>
  <si>
    <t>agneaux sevrés/brebis/an</t>
  </si>
  <si>
    <t>Compléter en nombre de têtes OU en pourcentage.</t>
  </si>
  <si>
    <t>1.</t>
  </si>
  <si>
    <t>Comment entrer vos données</t>
  </si>
  <si>
    <t>Comment réviser les calculs produits</t>
  </si>
  <si>
    <t>Comment interpréter les résultats</t>
  </si>
  <si>
    <t>2.</t>
  </si>
  <si>
    <t>Les calculs</t>
  </si>
  <si>
    <t>3.</t>
  </si>
  <si>
    <t>4.</t>
  </si>
  <si>
    <t>5.</t>
  </si>
  <si>
    <t xml:space="preserve">La colonne « Total à 12 mois » sous les Jeunes béliers regroupe la totalité des frais engagés pour le groupe de béliers vendus pour la reproduction à 12 mois d'âge. Puis la colone « $ / bélier » ramène ces frais par bélier. </t>
  </si>
  <si>
    <t xml:space="preserve">La colonne « Total à 8 mois » sous les Agnelles regroupe la totalité des frais engagés pour le groupe d'agnelles vendues pour la reproduction à 8 mois d'âge. Puis la colone « $ / agnelle » ramène ces frais par agnelle. </t>
  </si>
  <si>
    <t>6.</t>
  </si>
  <si>
    <t>7.</t>
  </si>
  <si>
    <r>
      <rPr>
        <b/>
        <sz val="11"/>
        <color theme="1"/>
        <rFont val="Calibri"/>
        <family val="2"/>
        <scheme val="minor"/>
      </rPr>
      <t>L'onglet « Sommaire des résultats »</t>
    </r>
    <r>
      <rPr>
        <sz val="11"/>
        <color theme="1"/>
        <rFont val="Calibri"/>
        <family val="2"/>
        <scheme val="minor"/>
      </rPr>
      <t xml:space="preserve"> résume la répartition des coûts par type de dépenses.</t>
    </r>
  </si>
  <si>
    <r>
      <rPr>
        <b/>
        <sz val="11"/>
        <color theme="1"/>
        <rFont val="Calibri"/>
        <family val="2"/>
        <scheme val="minor"/>
      </rPr>
      <t>Dans</t>
    </r>
    <r>
      <rPr>
        <sz val="11"/>
        <color theme="1"/>
        <rFont val="Calibri"/>
        <family val="2"/>
        <scheme val="minor"/>
      </rPr>
      <t xml:space="preserve"> </t>
    </r>
    <r>
      <rPr>
        <b/>
        <sz val="11"/>
        <color theme="1"/>
        <rFont val="Calibri"/>
        <family val="2"/>
        <scheme val="minor"/>
      </rPr>
      <t>l'onglet « DONNÉES À ENTRER»</t>
    </r>
    <r>
      <rPr>
        <sz val="11"/>
        <color theme="1"/>
        <rFont val="Calibri"/>
        <family val="2"/>
        <scheme val="minor"/>
      </rPr>
      <t>, vous pouvez modifier les données inscrites dans les cases vertes ou laisser les données issues du modèle de référence. Toutes les cases blanches sont verrouillées et leur contenu ne peut être modifié.</t>
    </r>
  </si>
  <si>
    <r>
      <t xml:space="preserve">Les sections à compléter nommées « Taux de sélection des animaux », «Prix des fourrages et des grains » et « Alimentation des agneaux » vous donnent un choix quant aux cellules à compléter. Il est important de faire un choix conformément à la consigne qui s'y trouve. Toutes les données d'une même série (ex: taux de sélection) doivent être entrées dans le même format (ex: vos taux de sélection peuvent être entrés en nombre de têtes </t>
    </r>
    <r>
      <rPr>
        <u/>
        <sz val="11"/>
        <color theme="1"/>
        <rFont val="Calibri"/>
        <family val="2"/>
        <scheme val="minor"/>
      </rPr>
      <t>OU</t>
    </r>
    <r>
      <rPr>
        <sz val="11"/>
        <color theme="1"/>
        <rFont val="Calibri"/>
        <family val="2"/>
        <scheme val="minor"/>
      </rPr>
      <t xml:space="preserve"> en %. Il faut entrer l'un ou l'autre, pas les deux.)</t>
    </r>
  </si>
  <si>
    <t>Ligne 71 x ( Ligne 72 / 85)</t>
  </si>
  <si>
    <t>Ligne 51 x Ligne 44</t>
  </si>
  <si>
    <t>((Ligne 83 x Ligne 73) + (Ligne 85 x ((Ligne 75 + Ligne 76 + Ligne 77) / (Si Ligne 75 à Ligne 77 ne sont pas vides, donc = (Ligne 86 x Ligne 78) + (Ligne 87 x Ligne 79) + (Ligne 88 x Ligne 80)) x Ligne 89</t>
  </si>
  <si>
    <t>((Ligne 101 x Ligne 73) + (Ligne 102 x ((Ligne 75 + Ligne 76 + Ligne 77) / (Si Ligne 75 à Ligne 77 ne sont pas vides, donc = (Ligne 103 x Ligne 78) + (Ligne 104 x Ligne 79)  x Ligne 105</t>
  </si>
  <si>
    <t>((Ligne 92 x Ligne 73) + (Ligne 94 x ((Ligne 75 + Ligne 76 + Ligne 77) / (Si Ligne 75 à Ligne 77 ne sont pas vides, donc = (Ligne 95 x Ligne 78) + (Ligne 96 x Ligne 79) + (Ligne 97 x Ligne 80)) x Ligne 98</t>
  </si>
  <si>
    <t>((Ligne 109 x Ligne 73) + (Ligne 111 x ((Ligne 75 + Ligne 76 + Ligne 77) / (Si Ligne 75 à Ligne 77 ne sont pas vides, donc = (Ligne 112 x Ligne 78) + (Ligne 113 x Ligne 79)  + (Ligne 114 x Ligne 80) x Ligne 115</t>
  </si>
  <si>
    <t>((Ligne 118 x Ligne 73) + (Ligne 120 x ((Ligne 75 + Ligne 76 + Ligne 77) / (Si Ligne 75 à Ligne 77 ne sont pas vides, donc = (Ligne 121 x Ligne 78) + (Ligne 122 x Ligne 79)  + (Ligne 123 x Ligne 80) x Ligne 124</t>
  </si>
  <si>
    <t>Bien que les cases blanches ne puissent être modifiées, vous pouvez cliquer dessus avec votre curseur pour les sélectionner et voir la formule de calcul le cas échéant.</t>
  </si>
  <si>
    <t>8.</t>
  </si>
  <si>
    <t>Répartition des Frais engagés pour les agneaux vendus à la viande, mais spécifiques à la production de reproducteurs, en fonction des frais spécifiques par sexe et au prorata du nombre de têtes vendues à la viande par sexe pour les frais communs aux deux sexes</t>
  </si>
  <si>
    <t>9.</t>
  </si>
  <si>
    <t>La qualité du calcul repose sur la qualité des données que vous entrez. En cas de doute sur l'exactitude de votre donnée, il est préférable d'utiliser la donnée du modèle de référence. Vous pouvez également demander l'aide de votre conseiller technique ou de gestion, le cas échéant, pour valider vos données.</t>
  </si>
  <si>
    <t>Des questions sur le fonctionnement de cet outils?</t>
  </si>
  <si>
    <r>
      <t xml:space="preserve">Si, après avoir travaillé avec cet outil et suivi les consignes ci-haut vous avez encore des questions sur le fonctionnement du fichier de calculs, vous pouvez communiquer avec la SEMRPQ par téléphone au 418-359-3832 ou par courriel à </t>
    </r>
    <r>
      <rPr>
        <u/>
        <sz val="11"/>
        <color rgb="FF0070C0"/>
        <rFont val="Calibri"/>
        <family val="2"/>
        <scheme val="minor"/>
      </rPr>
      <t>semrpq@cepoq.com</t>
    </r>
    <r>
      <rPr>
        <sz val="11"/>
        <color theme="1"/>
        <rFont val="Calibri"/>
        <family val="2"/>
        <scheme val="minor"/>
      </rPr>
      <t xml:space="preserve">. </t>
    </r>
  </si>
  <si>
    <t>La colonne « Frais spécifiques engagés pour les autres agneaux qui ne sont pas vendus comme reproducteurs » calcule tous les frais d'élevage des animaux non vendus comme reproducteurs qui doivent être récupérés via le prix de vente des reproducteurs vendus. Ceux-ci sont ajoutés à la ligne 80 du calcul. La répartition des Frais engagés pour les agneaux vendus à la viande, mais spécifiques à la production de reproducteurs, est faite en fonction des frais spécifiques par sexe et au prorata du nombre de têtes vendues à la viande par sexe pour les frais communs aux deux sexes.</t>
  </si>
  <si>
    <t>Calcul du coût d'élevage des sujets reproducteurs de race PATERNELLE - Référence 2016</t>
  </si>
  <si>
    <t>Références - Modèle pour une race PATERNELLE</t>
  </si>
  <si>
    <t>Consignes pour obtenir une estimation du prix moyen de vente des sujets reproducteurs produits en race PATERNELLE</t>
  </si>
  <si>
    <r>
      <rPr>
        <b/>
        <sz val="11"/>
        <color theme="1"/>
        <rFont val="Calibri"/>
        <family val="2"/>
        <scheme val="minor"/>
      </rPr>
      <t>Dans l'onglet « Grille de calculs - PATERNEL »</t>
    </r>
    <r>
      <rPr>
        <sz val="11"/>
        <color theme="1"/>
        <rFont val="Calibri"/>
        <family val="2"/>
        <scheme val="minor"/>
      </rPr>
      <t>, les colonnes vertes réfèrent à vos données entrées dans l'onglet « Données à entrer ». Il s'agit donc des calculs propres à votre situation. Les colonnes bleues réfèrent aux données du modèle de référence.</t>
    </r>
  </si>
  <si>
    <t>Final : taux de sélection des agneaux, en pourcentage</t>
  </si>
  <si>
    <t>Final : taux de sélection des agneaux, en nombre de têtes</t>
  </si>
  <si>
    <t>Final : taux de sélection des agnelles, en pourcentage</t>
  </si>
  <si>
    <t>Final : taux de sélection des agnelles, en nombre de têtes</t>
  </si>
  <si>
    <t>Vous vous apprêtez à travailler avec le fichier de calcul pour une race dite «PATERNELLE». Assurez-vous qu'il s'agit bien du modèle qui correspond à la race que vous élevez. Le résultat du calcul donne un prix MOYEN et ne tient pas compte de facteurs d'ajustement tels que la qualité génétique spécifique d'un individu (ex: élite génétique ou génotypage désirable), du statut sanitaire (ex: troupeau OR pour le Maedi visna) et de la situation du marché (ex: rareté des sujets).</t>
  </si>
  <si>
    <t>Estimation du coût de production moyen</t>
  </si>
  <si>
    <t>Estimation du coût de production moyen d'un sujet</t>
  </si>
  <si>
    <t>Outil d'estimation du coût de production</t>
  </si>
  <si>
    <t>des sujets reproducteurs</t>
  </si>
  <si>
    <t>Cet outil a été créé dans le cadre du projet intitulé « Augmenter la maitrise par les éleveurs de leurs coûts de production des sujets reproducteurs grâce à un outil simple de calcul comparatif avec des données de référence reconnues ».</t>
  </si>
  <si>
    <t>Grâce au soutien financier de:</t>
  </si>
  <si>
    <t xml:space="preserve"> - RACES PATERNELLES -</t>
  </si>
  <si>
    <t>Collaborateurs:</t>
  </si>
  <si>
    <t>Services-conseils                                           Jean Lecours</t>
  </si>
  <si>
    <r>
      <t xml:space="preserve">Copyright © 2018   </t>
    </r>
    <r>
      <rPr>
        <sz val="10"/>
        <color theme="1"/>
        <rFont val="Arial"/>
        <family val="2"/>
      </rPr>
      <t>|</t>
    </r>
    <r>
      <rPr>
        <sz val="10"/>
        <color theme="1"/>
        <rFont val="Calibri"/>
        <family val="2"/>
      </rPr>
      <t xml:space="preserve">   SEMRPQ</t>
    </r>
  </si>
  <si>
    <t>Sommaire de la composition de votre coût moyen par sujet reproducteur                                                                                  de race PATERNELLE</t>
  </si>
  <si>
    <t>Société Canadienne des éleveurs de moutons et Société Canadienne d'enregistrement des animaux</t>
  </si>
  <si>
    <t>Informations complémentaires</t>
  </si>
  <si>
    <t>En élevage de race pure, l'éleveur doit investir un montant supplémentaire pour l'élevage et l'achat de ses sujets reproducteurs améliorateurs. Ce montant doit être amorti sur la durée de vie productive de l'animal et de sa progéniture.  Pour une amélioration génétique optimale, les éleveurs de race pure ont avantage à utiliser de jeunes béliers lors de leurs saillies ainsi que des femelles d’élevage relativement jeunes. Pour les brebis: Les femelles de race pure ont un taux de remplacement de 28 % supérieur aux femelles en situation commerciale, soit un investissement supplémentaire qui doit être amorti sur la progéniture. Pour les béliers: Les éleveurs de sujets de race pure utilisent des béliers ayant des indices génétiques supérieurs aux éleveurs commerciaux. De plus, le taux de remplacement des béliers est deux fois plus élevé que celui des béliers en situation commerciale.</t>
  </si>
  <si>
    <t>Les étapes supplémentaires requises pour élever des animaux de race pure entrainent du temps de travail additionnel à celui tâches requises en production commerciale.</t>
  </si>
  <si>
    <t>Il est à noter que les animaux pur-sang doivent avoir leur papier d’enregistrement en règle. Ainsi, tout sujet identifié comme « pur-sang » doit posséder son certificat d’enregistrement. De plus, la Loi canadienne d’enregistrement des animaux exige que le vendeur effectue le transfert d’enregistrement d’un animal à l’acheteur, aux frais du vendeur, et ce, dans un délai de 6 mois suivant la transaction. La SCEA applique désormais des frais supplémentaires aux vendeurs ne respectant pas ces délais.</t>
  </si>
  <si>
    <t>Le coût moyen d’élevage des sujets reproducteurs et le taux de sélection sont des paramètres étroitement reliés. Plusieurs facteurs influencent le taux de sélection, par exemple les animaux élites qui devraient être diffusés dans les noyaux de race pure se retrouvent dans les 10 % top de la sélection. Les paramètres génétiques, de santé et de conformation viennent aussi influencer le taux de sélection final. Finalement, le niveau de sélection tient aussi compte du marché, de la demande et de la race.</t>
  </si>
  <si>
    <t>Pour remplir la case « % de matière sèche des fourrages de l'entreprise », veuillez vous référer à vos analyses de foin pour entrer une donnée juste. Puisque qu'une tonne équivaut à 1000 kg, il suffit de diviser le prix à la tonne par 1000 pour obtenir le prix par kilogramme (kg). Par exemple, si le prix du maïs est de 260 $/tonne, celui-ci équivaut à 0,260 $/kg.</t>
  </si>
  <si>
    <t>Si vous n’avez pas de programme alimentaire, il est préférable de conserver les données du modèle de référence. Si vous avez un programme alimentaire, vous pouvez entrer vos propres quantités d’aliments par catégorie d’âge pour les agneaux. Si vous alimentez plutôt avec de la moulée complète, il vous est possible d’entrer cette donnée et de laisser les autres cases d’aliments vacantes.</t>
  </si>
  <si>
    <t>Si vous n’avez pas de programme alimentaire, il est préférable de conserver les données du modèle de référence. Si vous avez un programme alimentaire, vous pouvez entrer vos propres quantités d’aliments par catégorie d’âge pour les agnelles. Si vous alimentez plutôt avec de la moulée complète, il vous est possible d’entrer cette donnée et de laisser les autres cases d’aliments vacantes.</t>
  </si>
  <si>
    <t>Société des éleveurs de moutons de race pure du Québec (Projet 16-4-23)</t>
  </si>
  <si>
    <t>Nombre d'agneaux sélectionnés</t>
  </si>
  <si>
    <t>Taille des onglons et tonte - Mâles (Si 2 tontes, doubler le montant.)</t>
  </si>
  <si>
    <t>Taille des onglons et tonte - Femelles</t>
  </si>
  <si>
    <t>Nombre de sujets au final par catégorie</t>
  </si>
  <si>
    <t>Les frais de tonte et de taille d'onglons sont ceux d'une ressource spécialisée. Le producteur qui les fait lui-même est déjà rémunéré dans le temps supplémentaire, qui couvre donc aussi le temps d'accompagnement de la ressource spécialisée.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</si>
</sst>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_);[Red]\(#,##0.00\ &quot;$&quot;\)"/>
    <numFmt numFmtId="44" formatCode="_ * #,##0.00_)\ &quot;$&quot;_ ;_ * \(#,##0.00\)\ &quot;$&quot;_ ;_ * &quot;-&quot;??_)\ &quot;$&quot;_ ;_ @_ "/>
    <numFmt numFmtId="164" formatCode="#,##0.0"/>
    <numFmt numFmtId="165" formatCode="#,##0_);[Red]\(#,##0\)"/>
    <numFmt numFmtId="166" formatCode="0.000"/>
    <numFmt numFmtId="167" formatCode="0.0"/>
    <numFmt numFmtId="168" formatCode="0.0%"/>
    <numFmt numFmtId="169" formatCode="_ * #,##0_)\ &quot;$&quot;_ ;_ * \(#,##0\)\ &quot;$&quot;_ ;_ * &quot;-&quot;??_)\ &quot;$&quot;_ ;_ @_ "/>
  </numFmts>
  <fonts count="56" x14ac:knownFonts="1">
    <font>
      <sz val="11"/>
      <color theme="1"/>
      <name val="Calibri"/>
      <family val="2"/>
      <scheme val="minor"/>
    </font>
    <font>
      <sz val="10"/>
      <color theme="1"/>
      <name val="Arial"/>
      <family val="2"/>
    </font>
    <font>
      <sz val="11"/>
      <color theme="1"/>
      <name val="Calibri"/>
      <family val="2"/>
      <scheme val="minor"/>
    </font>
    <font>
      <sz val="11"/>
      <color rgb="FF3F3F76"/>
      <name val="Calibri"/>
      <family val="2"/>
      <scheme val="minor"/>
    </font>
    <font>
      <sz val="10"/>
      <name val="Arial"/>
      <family val="2"/>
    </font>
    <font>
      <u/>
      <sz val="10"/>
      <color indexed="12"/>
      <name val="Arial"/>
      <family val="2"/>
    </font>
    <font>
      <b/>
      <sz val="14"/>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theme="0"/>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b/>
      <sz val="14"/>
      <color theme="0"/>
      <name val="Calibri"/>
      <family val="2"/>
      <scheme val="minor"/>
    </font>
    <font>
      <b/>
      <sz val="20"/>
      <color theme="1"/>
      <name val="Calibri"/>
      <family val="2"/>
      <scheme val="minor"/>
    </font>
    <font>
      <b/>
      <sz val="16"/>
      <color theme="1" tint="4.9989318521683403E-2"/>
      <name val="Calibri"/>
      <family val="2"/>
      <scheme val="minor"/>
    </font>
    <font>
      <b/>
      <sz val="14"/>
      <color theme="1" tint="4.9989318521683403E-2"/>
      <name val="Calibri"/>
      <family val="2"/>
      <scheme val="minor"/>
    </font>
    <font>
      <b/>
      <sz val="12"/>
      <color theme="1" tint="4.9989318521683403E-2"/>
      <name val="Calibri"/>
      <family val="2"/>
      <scheme val="minor"/>
    </font>
    <font>
      <b/>
      <sz val="11"/>
      <name val="Calibri"/>
      <family val="2"/>
      <scheme val="minor"/>
    </font>
    <font>
      <b/>
      <sz val="11"/>
      <color theme="1" tint="4.9989318521683403E-2"/>
      <name val="Calibri"/>
      <family val="2"/>
      <scheme val="minor"/>
    </font>
    <font>
      <i/>
      <sz val="11"/>
      <name val="Calibri"/>
      <family val="2"/>
      <scheme val="minor"/>
    </font>
    <font>
      <b/>
      <u/>
      <sz val="11"/>
      <name val="Calibri"/>
      <family val="2"/>
      <scheme val="minor"/>
    </font>
    <font>
      <b/>
      <sz val="11"/>
      <color theme="0"/>
      <name val="Calibri"/>
      <family val="2"/>
      <scheme val="minor"/>
    </font>
    <font>
      <i/>
      <sz val="11"/>
      <color theme="0"/>
      <name val="Calibri"/>
      <family val="2"/>
      <scheme val="minor"/>
    </font>
    <font>
      <b/>
      <vertAlign val="superscript"/>
      <sz val="14"/>
      <color theme="0"/>
      <name val="Calibri"/>
      <family val="2"/>
      <scheme val="minor"/>
    </font>
    <font>
      <vertAlign val="superscript"/>
      <sz val="11"/>
      <name val="Calibri"/>
      <family val="2"/>
      <scheme val="minor"/>
    </font>
    <font>
      <vertAlign val="superscript"/>
      <sz val="11"/>
      <color theme="1"/>
      <name val="Calibri"/>
      <family val="2"/>
      <scheme val="minor"/>
    </font>
    <font>
      <sz val="11"/>
      <name val="Calibri"/>
      <family val="2"/>
      <scheme val="minor"/>
    </font>
    <font>
      <b/>
      <sz val="11"/>
      <color theme="1" tint="4.9989318521683403E-2"/>
      <name val="Calibri"/>
      <family val="2"/>
      <scheme val="minor"/>
    </font>
    <font>
      <i/>
      <sz val="11"/>
      <name val="Calibri"/>
      <family val="2"/>
      <scheme val="minor"/>
    </font>
    <font>
      <b/>
      <sz val="11"/>
      <name val="Calibri"/>
      <family val="2"/>
      <scheme val="minor"/>
    </font>
    <font>
      <sz val="11"/>
      <color theme="1"/>
      <name val="Calibri"/>
      <family val="2"/>
      <scheme val="minor"/>
    </font>
    <font>
      <b/>
      <sz val="18"/>
      <color theme="1"/>
      <name val="Calibri"/>
      <family val="2"/>
      <scheme val="minor"/>
    </font>
    <font>
      <b/>
      <sz val="22"/>
      <color theme="1" tint="4.9989318521683403E-2"/>
      <name val="Calibri"/>
      <family val="2"/>
      <scheme val="minor"/>
    </font>
    <font>
      <b/>
      <sz val="12"/>
      <color theme="1"/>
      <name val="Calibri"/>
      <family val="2"/>
      <scheme val="minor"/>
    </font>
    <font>
      <b/>
      <sz val="14"/>
      <name val="Calibri"/>
      <family val="2"/>
      <scheme val="minor"/>
    </font>
    <font>
      <b/>
      <sz val="18"/>
      <color theme="0"/>
      <name val="Calibri"/>
      <family val="2"/>
      <scheme val="minor"/>
    </font>
    <font>
      <b/>
      <sz val="18"/>
      <color theme="9" tint="0.59999389629810485"/>
      <name val="Calibri"/>
      <family val="2"/>
      <scheme val="minor"/>
    </font>
    <font>
      <b/>
      <sz val="18"/>
      <color theme="8" tint="0.59999389629810485"/>
      <name val="Calibri"/>
      <family val="2"/>
      <scheme val="minor"/>
    </font>
    <font>
      <b/>
      <sz val="20"/>
      <color theme="0"/>
      <name val="Calibri"/>
      <family val="2"/>
      <scheme val="minor"/>
    </font>
    <font>
      <sz val="20"/>
      <name val="Calibri"/>
      <family val="2"/>
      <scheme val="minor"/>
    </font>
    <font>
      <sz val="20"/>
      <color theme="1"/>
      <name val="Calibri"/>
      <family val="2"/>
      <scheme val="minor"/>
    </font>
    <font>
      <u/>
      <sz val="11"/>
      <color theme="1"/>
      <name val="Calibri"/>
      <family val="2"/>
      <scheme val="minor"/>
    </font>
    <font>
      <u/>
      <sz val="11"/>
      <color rgb="FF0070C0"/>
      <name val="Calibri"/>
      <family val="2"/>
      <scheme val="minor"/>
    </font>
    <font>
      <b/>
      <sz val="12"/>
      <color theme="0"/>
      <name val="Calibri"/>
      <family val="2"/>
      <scheme val="minor"/>
    </font>
    <font>
      <b/>
      <sz val="22"/>
      <color theme="1"/>
      <name val="Calibri"/>
      <family val="2"/>
      <scheme val="minor"/>
    </font>
    <font>
      <sz val="10"/>
      <color theme="1"/>
      <name val="Calibri"/>
      <family val="2"/>
      <scheme val="minor"/>
    </font>
    <font>
      <sz val="10"/>
      <color theme="1"/>
      <name val="Calibri"/>
      <family val="2"/>
    </font>
    <font>
      <sz val="12.5"/>
      <color theme="1"/>
      <name val="AR CENA"/>
    </font>
    <font>
      <b/>
      <sz val="11"/>
      <color theme="8" tint="-0.249977111117893"/>
      <name val="Calibri"/>
      <family val="2"/>
      <scheme val="minor"/>
    </font>
    <font>
      <b/>
      <sz val="11"/>
      <color rgb="FFFF0066"/>
      <name val="Calibri"/>
      <family val="2"/>
      <scheme val="minor"/>
    </font>
    <font>
      <b/>
      <sz val="11"/>
      <color rgb="FFFF0000"/>
      <name val="Calibri"/>
      <family val="2"/>
      <scheme val="minor"/>
    </font>
    <font>
      <b/>
      <sz val="14"/>
      <color theme="8" tint="0.59999389629810485"/>
      <name val="Calibri"/>
      <family val="2"/>
      <scheme val="minor"/>
    </font>
    <font>
      <b/>
      <sz val="14"/>
      <color rgb="FFFF0066"/>
      <name val="Calibri"/>
      <family val="2"/>
      <scheme val="minor"/>
    </font>
  </fonts>
  <fills count="20">
    <fill>
      <patternFill patternType="none"/>
    </fill>
    <fill>
      <patternFill patternType="gray125"/>
    </fill>
    <fill>
      <patternFill patternType="solid">
        <fgColor rgb="FFFFCC99"/>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39997558519241921"/>
        <bgColor indexed="64"/>
      </patternFill>
    </fill>
  </fills>
  <borders count="12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indexed="64"/>
      </right>
      <top style="hair">
        <color auto="1"/>
      </top>
      <bottom/>
      <diagonal/>
    </border>
    <border>
      <left style="thin">
        <color auto="1"/>
      </left>
      <right style="medium">
        <color indexed="64"/>
      </right>
      <top/>
      <bottom style="hair">
        <color auto="1"/>
      </bottom>
      <diagonal/>
    </border>
    <border>
      <left style="thin">
        <color auto="1"/>
      </left>
      <right style="medium">
        <color indexed="64"/>
      </right>
      <top/>
      <bottom style="thin">
        <color auto="1"/>
      </bottom>
      <diagonal/>
    </border>
    <border>
      <left/>
      <right style="thin">
        <color auto="1"/>
      </right>
      <top style="medium">
        <color auto="1"/>
      </top>
      <bottom style="hair">
        <color auto="1"/>
      </bottom>
      <diagonal/>
    </border>
    <border>
      <left/>
      <right/>
      <top style="hair">
        <color auto="1"/>
      </top>
      <bottom style="hair">
        <color auto="1"/>
      </bottom>
      <diagonal/>
    </border>
    <border>
      <left/>
      <right/>
      <top style="hair">
        <color auto="1"/>
      </top>
      <bottom style="double">
        <color auto="1"/>
      </bottom>
      <diagonal/>
    </border>
    <border>
      <left/>
      <right/>
      <top/>
      <bottom style="hair">
        <color auto="1"/>
      </bottom>
      <diagonal/>
    </border>
    <border>
      <left/>
      <right/>
      <top style="hair">
        <color auto="1"/>
      </top>
      <bottom style="thin">
        <color auto="1"/>
      </bottom>
      <diagonal/>
    </border>
    <border>
      <left/>
      <right/>
      <top style="hair">
        <color auto="1"/>
      </top>
      <bottom style="medium">
        <color auto="1"/>
      </bottom>
      <diagonal/>
    </border>
    <border>
      <left style="medium">
        <color auto="1"/>
      </left>
      <right style="double">
        <color auto="1"/>
      </right>
      <top style="medium">
        <color auto="1"/>
      </top>
      <bottom style="hair">
        <color auto="1"/>
      </bottom>
      <diagonal/>
    </border>
    <border>
      <left style="medium">
        <color auto="1"/>
      </left>
      <right style="double">
        <color auto="1"/>
      </right>
      <top style="hair">
        <color auto="1"/>
      </top>
      <bottom style="hair">
        <color auto="1"/>
      </bottom>
      <diagonal/>
    </border>
    <border>
      <left style="medium">
        <color auto="1"/>
      </left>
      <right style="double">
        <color auto="1"/>
      </right>
      <top style="hair">
        <color auto="1"/>
      </top>
      <bottom style="double">
        <color auto="1"/>
      </bottom>
      <diagonal/>
    </border>
    <border>
      <left style="medium">
        <color auto="1"/>
      </left>
      <right style="double">
        <color auto="1"/>
      </right>
      <top/>
      <bottom style="hair">
        <color auto="1"/>
      </bottom>
      <diagonal/>
    </border>
    <border>
      <left style="medium">
        <color auto="1"/>
      </left>
      <right style="double">
        <color auto="1"/>
      </right>
      <top style="hair">
        <color auto="1"/>
      </top>
      <bottom/>
      <diagonal/>
    </border>
    <border>
      <left style="medium">
        <color auto="1"/>
      </left>
      <right style="double">
        <color auto="1"/>
      </right>
      <top/>
      <bottom style="thin">
        <color auto="1"/>
      </bottom>
      <diagonal/>
    </border>
    <border>
      <left style="medium">
        <color auto="1"/>
      </left>
      <right style="double">
        <color auto="1"/>
      </right>
      <top style="hair">
        <color auto="1"/>
      </top>
      <bottom style="medium">
        <color auto="1"/>
      </bottom>
      <diagonal/>
    </border>
    <border>
      <left style="thin">
        <color auto="1"/>
      </left>
      <right style="medium">
        <color indexed="64"/>
      </right>
      <top style="hair">
        <color auto="1"/>
      </top>
      <bottom style="double">
        <color auto="1"/>
      </bottom>
      <diagonal/>
    </border>
    <border>
      <left/>
      <right/>
      <top/>
      <bottom style="medium">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double">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indexed="64"/>
      </bottom>
      <diagonal/>
    </border>
    <border>
      <left style="double">
        <color auto="1"/>
      </left>
      <right style="thin">
        <color auto="1"/>
      </right>
      <top style="hair">
        <color auto="1"/>
      </top>
      <bottom style="medium">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thin">
        <color auto="1"/>
      </bottom>
      <diagonal/>
    </border>
    <border>
      <left style="medium">
        <color auto="1"/>
      </left>
      <right style="double">
        <color auto="1"/>
      </right>
      <top style="hair">
        <color auto="1"/>
      </top>
      <bottom style="thin">
        <color indexed="64"/>
      </bottom>
      <diagonal/>
    </border>
    <border>
      <left/>
      <right/>
      <top style="hair">
        <color auto="1"/>
      </top>
      <bottom/>
      <diagonal/>
    </border>
    <border>
      <left style="medium">
        <color auto="1"/>
      </left>
      <right/>
      <top style="hair">
        <color auto="1"/>
      </top>
      <bottom/>
      <diagonal/>
    </border>
    <border>
      <left style="double">
        <color auto="1"/>
      </left>
      <right style="thin">
        <color auto="1"/>
      </right>
      <top style="hair">
        <color auto="1"/>
      </top>
      <bottom/>
      <diagonal/>
    </border>
    <border>
      <left style="medium">
        <color auto="1"/>
      </left>
      <right style="double">
        <color auto="1"/>
      </right>
      <top style="thin">
        <color auto="1"/>
      </top>
      <bottom style="hair">
        <color auto="1"/>
      </bottom>
      <diagonal/>
    </border>
    <border>
      <left/>
      <right/>
      <top style="thin">
        <color auto="1"/>
      </top>
      <bottom style="hair">
        <color auto="1"/>
      </bottom>
      <diagonal/>
    </border>
    <border>
      <left style="medium">
        <color auto="1"/>
      </left>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medium">
        <color indexed="64"/>
      </right>
      <top style="thin">
        <color auto="1"/>
      </top>
      <bottom/>
      <diagonal/>
    </border>
    <border>
      <left style="medium">
        <color indexed="64"/>
      </left>
      <right/>
      <top style="medium">
        <color indexed="0"/>
      </top>
      <bottom style="medium">
        <color indexed="0"/>
      </bottom>
      <diagonal/>
    </border>
    <border>
      <left/>
      <right style="medium">
        <color auto="1"/>
      </right>
      <top style="hair">
        <color auto="1"/>
      </top>
      <bottom style="hair">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double">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double">
        <color auto="1"/>
      </right>
      <top/>
      <bottom/>
      <diagonal/>
    </border>
    <border>
      <left/>
      <right style="thin">
        <color auto="1"/>
      </right>
      <top/>
      <bottom/>
      <diagonal/>
    </border>
    <border>
      <left style="thin">
        <color auto="1"/>
      </left>
      <right style="double">
        <color auto="1"/>
      </right>
      <top style="medium">
        <color indexed="0"/>
      </top>
      <bottom style="medium">
        <color indexed="0"/>
      </bottom>
      <diagonal/>
    </border>
    <border>
      <left/>
      <right style="thin">
        <color auto="1"/>
      </right>
      <top style="medium">
        <color indexed="0"/>
      </top>
      <bottom style="medium">
        <color indexed="0"/>
      </bottom>
      <diagonal/>
    </border>
    <border>
      <left style="thin">
        <color auto="1"/>
      </left>
      <right style="double">
        <color auto="1"/>
      </right>
      <top/>
      <bottom style="medium">
        <color indexed="64"/>
      </bottom>
      <diagonal/>
    </border>
    <border>
      <left style="double">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double">
        <color auto="1"/>
      </left>
      <right style="thin">
        <color auto="1"/>
      </right>
      <top/>
      <bottom/>
      <diagonal/>
    </border>
    <border>
      <left style="thin">
        <color auto="1"/>
      </left>
      <right style="thin">
        <color auto="1"/>
      </right>
      <top/>
      <bottom/>
      <diagonal/>
    </border>
    <border>
      <left style="double">
        <color auto="1"/>
      </left>
      <right style="thin">
        <color auto="1"/>
      </right>
      <top/>
      <bottom style="medium">
        <color indexed="64"/>
      </bottom>
      <diagonal/>
    </border>
    <border>
      <left style="thin">
        <color auto="1"/>
      </left>
      <right style="thin">
        <color auto="1"/>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medium">
        <color indexed="64"/>
      </top>
      <bottom style="medium">
        <color indexed="64"/>
      </bottom>
      <diagonal/>
    </border>
    <border>
      <left/>
      <right style="double">
        <color indexed="64"/>
      </right>
      <top/>
      <bottom style="medium">
        <color indexed="64"/>
      </bottom>
      <diagonal/>
    </border>
    <border>
      <left/>
      <right style="thin">
        <color auto="1"/>
      </right>
      <top/>
      <bottom style="medium">
        <color indexed="64"/>
      </bottom>
      <diagonal/>
    </border>
    <border>
      <left style="double">
        <color auto="1"/>
      </left>
      <right/>
      <top style="thin">
        <color indexed="64"/>
      </top>
      <bottom style="thin">
        <color auto="1"/>
      </bottom>
      <diagonal/>
    </border>
    <border>
      <left/>
      <right/>
      <top style="thin">
        <color indexed="64"/>
      </top>
      <bottom style="thin">
        <color auto="1"/>
      </bottom>
      <diagonal/>
    </border>
    <border>
      <left/>
      <right style="medium">
        <color indexed="64"/>
      </right>
      <top style="thin">
        <color indexed="64"/>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thin">
        <color auto="1"/>
      </right>
      <top/>
      <bottom style="hair">
        <color indexed="64"/>
      </bottom>
      <diagonal/>
    </border>
    <border>
      <left style="thin">
        <color auto="1"/>
      </left>
      <right style="thin">
        <color auto="1"/>
      </right>
      <top/>
      <bottom style="hair">
        <color indexed="64"/>
      </bottom>
      <diagonal/>
    </border>
    <border>
      <left style="thin">
        <color auto="1"/>
      </left>
      <right style="double">
        <color auto="1"/>
      </right>
      <top/>
      <bottom style="hair">
        <color indexed="64"/>
      </bottom>
      <diagonal/>
    </border>
    <border>
      <left style="medium">
        <color indexed="64"/>
      </left>
      <right style="thin">
        <color auto="1"/>
      </right>
      <top/>
      <bottom style="hair">
        <color indexed="64"/>
      </bottom>
      <diagonal/>
    </border>
    <border>
      <left/>
      <right style="thin">
        <color auto="1"/>
      </right>
      <top style="hair">
        <color indexed="64"/>
      </top>
      <bottom/>
      <diagonal/>
    </border>
    <border>
      <left style="thin">
        <color auto="1"/>
      </left>
      <right style="thin">
        <color auto="1"/>
      </right>
      <top style="hair">
        <color indexed="64"/>
      </top>
      <bottom/>
      <diagonal/>
    </border>
    <border>
      <left style="thin">
        <color auto="1"/>
      </left>
      <right style="double">
        <color auto="1"/>
      </right>
      <top style="hair">
        <color indexed="64"/>
      </top>
      <bottom/>
      <diagonal/>
    </border>
    <border>
      <left style="thin">
        <color auto="1"/>
      </left>
      <right/>
      <top style="hair">
        <color auto="1"/>
      </top>
      <bottom style="medium">
        <color auto="1"/>
      </bottom>
      <diagonal/>
    </border>
    <border>
      <left style="double">
        <color auto="1"/>
      </left>
      <right/>
      <top style="hair">
        <color auto="1"/>
      </top>
      <bottom style="hair">
        <color auto="1"/>
      </bottom>
      <diagonal/>
    </border>
    <border>
      <left style="double">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auto="1"/>
      </right>
      <top style="hair">
        <color indexed="64"/>
      </top>
      <bottom/>
      <diagonal/>
    </border>
    <border>
      <left style="thin">
        <color auto="1"/>
      </left>
      <right/>
      <top/>
      <bottom style="medium">
        <color indexed="64"/>
      </bottom>
      <diagonal/>
    </border>
    <border>
      <left style="medium">
        <color auto="1"/>
      </left>
      <right style="thin">
        <color auto="1"/>
      </right>
      <top style="hair">
        <color auto="1"/>
      </top>
      <bottom style="medium">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double">
        <color auto="1"/>
      </right>
      <top/>
      <bottom style="medium">
        <color auto="1"/>
      </bottom>
      <diagonal/>
    </border>
    <border>
      <left style="medium">
        <color auto="1"/>
      </left>
      <right/>
      <top style="medium">
        <color auto="1"/>
      </top>
      <bottom/>
      <diagonal/>
    </border>
    <border>
      <left style="medium">
        <color auto="1"/>
      </left>
      <right/>
      <top/>
      <bottom style="double">
        <color auto="1"/>
      </bottom>
      <diagonal/>
    </border>
    <border>
      <left style="thin">
        <color auto="1"/>
      </left>
      <right/>
      <top/>
      <bottom style="hair">
        <color indexed="64"/>
      </bottom>
      <diagonal/>
    </border>
    <border>
      <left style="thin">
        <color auto="1"/>
      </left>
      <right/>
      <top style="hair">
        <color auto="1"/>
      </top>
      <bottom style="thin">
        <color auto="1"/>
      </bottom>
      <diagonal/>
    </border>
    <border>
      <left style="medium">
        <color auto="1"/>
      </left>
      <right style="thin">
        <color auto="1"/>
      </right>
      <top style="hair">
        <color auto="1"/>
      </top>
      <bottom style="thin">
        <color auto="1"/>
      </bottom>
      <diagonal/>
    </border>
    <border>
      <left style="double">
        <color auto="1"/>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bottom style="double">
        <color auto="1"/>
      </bottom>
      <diagonal/>
    </border>
    <border>
      <left style="thin">
        <color auto="1"/>
      </left>
      <right style="medium">
        <color indexed="64"/>
      </right>
      <top/>
      <bottom style="double">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indexed="64"/>
      </right>
      <top style="medium">
        <color auto="1"/>
      </top>
      <bottom style="hair">
        <color auto="1"/>
      </bottom>
      <diagonal/>
    </border>
    <border>
      <left/>
      <right/>
      <top/>
      <bottom style="thin">
        <color indexed="64"/>
      </bottom>
      <diagonal/>
    </border>
    <border>
      <left style="medium">
        <color auto="1"/>
      </left>
      <right style="medium">
        <color auto="1"/>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s>
  <cellStyleXfs count="7">
    <xf numFmtId="0" fontId="0" fillId="0" borderId="0">
      <alignment vertical="center" wrapText="1"/>
    </xf>
    <xf numFmtId="44" fontId="2" fillId="0" borderId="0" applyFont="0" applyFill="0" applyBorder="0" applyAlignment="0" applyProtection="0"/>
    <xf numFmtId="0" fontId="3" fillId="2" borderId="1" applyNumberFormat="0" applyAlignment="0" applyProtection="0"/>
    <xf numFmtId="0" fontId="4" fillId="0" borderId="0"/>
    <xf numFmtId="0" fontId="5" fillId="0" borderId="0" applyNumberFormat="0" applyFill="0" applyBorder="0" applyAlignment="0" applyProtection="0">
      <alignment vertical="top"/>
      <protection locked="0"/>
    </xf>
    <xf numFmtId="3" fontId="4" fillId="0" borderId="0" applyFill="0" applyBorder="0" applyAlignment="0" applyProtection="0"/>
    <xf numFmtId="9" fontId="2" fillId="0" borderId="0" applyFont="0" applyFill="0" applyBorder="0" applyAlignment="0" applyProtection="0"/>
  </cellStyleXfs>
  <cellXfs count="627">
    <xf numFmtId="0" fontId="0" fillId="0" borderId="0" xfId="0">
      <alignment vertical="center" wrapText="1"/>
    </xf>
    <xf numFmtId="0" fontId="0" fillId="0" borderId="0" xfId="0" applyAlignment="1">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8" fillId="0" borderId="0" xfId="3" applyFont="1" applyFill="1" applyBorder="1" applyAlignment="1">
      <alignment vertical="center"/>
    </xf>
    <xf numFmtId="0" fontId="8" fillId="0" borderId="0" xfId="3" applyFont="1" applyAlignment="1">
      <alignment vertical="center"/>
    </xf>
    <xf numFmtId="0" fontId="8" fillId="0" borderId="0" xfId="3" applyFont="1" applyAlignment="1">
      <alignment horizontal="center" vertical="center"/>
    </xf>
    <xf numFmtId="0" fontId="0" fillId="0" borderId="0" xfId="0"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0" xfId="3" applyFont="1" applyFill="1" applyAlignment="1">
      <alignment vertical="center"/>
    </xf>
    <xf numFmtId="0" fontId="0" fillId="3" borderId="13" xfId="0" applyFont="1" applyFill="1" applyBorder="1" applyAlignment="1" applyProtection="1">
      <alignment vertical="center"/>
      <protection locked="0"/>
    </xf>
    <xf numFmtId="0" fontId="0" fillId="11" borderId="13" xfId="0" applyFont="1" applyFill="1" applyBorder="1" applyAlignment="1" applyProtection="1">
      <alignment vertical="center"/>
      <protection locked="0"/>
    </xf>
    <xf numFmtId="1" fontId="0" fillId="3" borderId="13" xfId="1" applyNumberFormat="1" applyFont="1" applyFill="1" applyBorder="1" applyAlignment="1" applyProtection="1">
      <alignment vertical="center"/>
      <protection locked="0"/>
    </xf>
    <xf numFmtId="2" fontId="0" fillId="3" borderId="13" xfId="0" applyNumberFormat="1" applyFont="1" applyFill="1" applyBorder="1" applyAlignment="1" applyProtection="1">
      <alignment vertical="center"/>
      <protection locked="0"/>
    </xf>
    <xf numFmtId="0" fontId="8" fillId="0" borderId="2" xfId="3" applyFont="1" applyFill="1" applyBorder="1" applyAlignment="1">
      <alignment horizontal="center" vertical="center"/>
    </xf>
    <xf numFmtId="0" fontId="0" fillId="3" borderId="17" xfId="0" applyFont="1" applyFill="1" applyBorder="1" applyAlignment="1" applyProtection="1">
      <alignment vertical="center"/>
      <protection locked="0"/>
    </xf>
    <xf numFmtId="0" fontId="0" fillId="11" borderId="16" xfId="0" applyFont="1" applyFill="1" applyBorder="1" applyAlignment="1" applyProtection="1">
      <alignment vertical="center"/>
      <protection locked="0"/>
    </xf>
    <xf numFmtId="0" fontId="8" fillId="0" borderId="0" xfId="0" applyFont="1" applyFill="1" applyAlignment="1">
      <alignment vertical="center"/>
    </xf>
    <xf numFmtId="0" fontId="21" fillId="3" borderId="26" xfId="3" applyFont="1" applyFill="1" applyBorder="1" applyAlignment="1">
      <alignment horizontal="center" vertical="center"/>
    </xf>
    <xf numFmtId="0" fontId="8" fillId="4" borderId="3" xfId="3" applyFont="1" applyFill="1" applyBorder="1" applyAlignment="1">
      <alignment horizontal="center" vertical="center"/>
    </xf>
    <xf numFmtId="3" fontId="0" fillId="0" borderId="0" xfId="0" applyNumberFormat="1" applyFont="1" applyAlignment="1">
      <alignment vertical="center"/>
    </xf>
    <xf numFmtId="165" fontId="0" fillId="0" borderId="0" xfId="0" applyNumberFormat="1" applyFont="1" applyAlignment="1">
      <alignment vertical="center"/>
    </xf>
    <xf numFmtId="3" fontId="20" fillId="0" borderId="0" xfId="5" applyNumberFormat="1" applyFont="1" applyFill="1" applyBorder="1" applyAlignment="1">
      <alignment horizontal="right" vertical="center" indent="3"/>
    </xf>
    <xf numFmtId="3" fontId="20" fillId="0" borderId="0" xfId="5" applyNumberFormat="1" applyFont="1" applyFill="1" applyBorder="1" applyAlignment="1">
      <alignment horizontal="center" vertical="center"/>
    </xf>
    <xf numFmtId="0" fontId="0" fillId="3" borderId="15" xfId="0" applyFont="1" applyFill="1" applyBorder="1" applyAlignment="1" applyProtection="1">
      <alignment vertical="center"/>
      <protection locked="0"/>
    </xf>
    <xf numFmtId="166" fontId="0" fillId="11" borderId="13" xfId="0" applyNumberFormat="1" applyFont="1" applyFill="1" applyBorder="1" applyAlignment="1" applyProtection="1">
      <alignment vertical="center"/>
      <protection locked="0"/>
    </xf>
    <xf numFmtId="0" fontId="29" fillId="0" borderId="0" xfId="0" applyFont="1" applyAlignment="1">
      <alignment vertical="center"/>
    </xf>
    <xf numFmtId="0" fontId="29" fillId="0" borderId="0" xfId="0" applyFont="1" applyFill="1" applyAlignment="1">
      <alignment vertical="center"/>
    </xf>
    <xf numFmtId="0" fontId="30" fillId="3" borderId="26" xfId="3" applyFont="1" applyFill="1" applyBorder="1" applyAlignment="1">
      <alignment horizontal="center" vertical="center"/>
    </xf>
    <xf numFmtId="0" fontId="12" fillId="0" borderId="0" xfId="0" applyFont="1" applyFill="1" applyBorder="1" applyAlignment="1">
      <alignment horizontal="center" vertical="center"/>
    </xf>
    <xf numFmtId="0" fontId="18" fillId="0" borderId="0" xfId="3" applyFont="1" applyFill="1" applyBorder="1" applyAlignment="1">
      <alignment horizontal="center" vertical="center"/>
    </xf>
    <xf numFmtId="0" fontId="21" fillId="0" borderId="26" xfId="3" applyFont="1" applyFill="1" applyBorder="1" applyAlignment="1">
      <alignment horizontal="center" vertical="center"/>
    </xf>
    <xf numFmtId="164" fontId="20" fillId="0" borderId="0" xfId="5" applyNumberFormat="1" applyFont="1" applyFill="1" applyBorder="1" applyAlignment="1">
      <alignment horizontal="center" vertical="center"/>
    </xf>
    <xf numFmtId="165" fontId="20" fillId="0" borderId="0" xfId="5" applyNumberFormat="1" applyFont="1" applyFill="1" applyBorder="1" applyAlignment="1">
      <alignment horizontal="right" vertical="center" indent="3"/>
    </xf>
    <xf numFmtId="3" fontId="24" fillId="0" borderId="0" xfId="5" applyNumberFormat="1" applyFont="1" applyFill="1" applyBorder="1" applyAlignment="1">
      <alignment horizontal="right" vertical="center" indent="3"/>
    </xf>
    <xf numFmtId="3" fontId="20" fillId="0" borderId="0" xfId="1" applyNumberFormat="1" applyFont="1" applyFill="1" applyBorder="1" applyAlignment="1">
      <alignment horizontal="center" vertical="center"/>
    </xf>
    <xf numFmtId="3" fontId="20" fillId="0" borderId="0" xfId="5" applyNumberFormat="1" applyFont="1" applyFill="1" applyBorder="1" applyAlignment="1">
      <alignment horizontal="right" vertical="center"/>
    </xf>
    <xf numFmtId="3" fontId="32" fillId="0" borderId="0" xfId="5" applyNumberFormat="1" applyFont="1" applyFill="1" applyBorder="1" applyAlignment="1">
      <alignment horizontal="right" vertical="center"/>
    </xf>
    <xf numFmtId="3" fontId="20" fillId="0" borderId="0" xfId="3" applyNumberFormat="1" applyFont="1" applyFill="1" applyBorder="1" applyAlignment="1">
      <alignment horizontal="right" vertical="center" indent="3"/>
    </xf>
    <xf numFmtId="165" fontId="0" fillId="0" borderId="0" xfId="0" applyNumberFormat="1" applyFont="1" applyFill="1" applyAlignment="1">
      <alignment vertical="center"/>
    </xf>
    <xf numFmtId="0" fontId="8" fillId="0" borderId="0" xfId="0" applyFont="1" applyFill="1" applyBorder="1" applyAlignment="1">
      <alignment vertical="center"/>
    </xf>
    <xf numFmtId="9" fontId="20" fillId="0" borderId="0" xfId="6" applyFont="1" applyFill="1" applyBorder="1" applyAlignment="1">
      <alignment horizontal="right" vertical="center" indent="3"/>
    </xf>
    <xf numFmtId="9" fontId="20" fillId="0" borderId="0" xfId="6" applyFont="1" applyFill="1" applyBorder="1" applyAlignment="1">
      <alignment horizontal="center" vertical="center"/>
    </xf>
    <xf numFmtId="0" fontId="34" fillId="0" borderId="0" xfId="0" applyFont="1" applyAlignment="1">
      <alignment horizontal="center" vertical="center" wrapText="1"/>
    </xf>
    <xf numFmtId="0" fontId="8" fillId="0" borderId="0" xfId="0" applyNumberFormat="1" applyFont="1" applyFill="1" applyAlignment="1">
      <alignment vertical="center"/>
    </xf>
    <xf numFmtId="0" fontId="8" fillId="0" borderId="0" xfId="0" applyFont="1" applyBorder="1" applyAlignment="1">
      <alignment vertical="center"/>
    </xf>
    <xf numFmtId="0" fontId="29" fillId="0" borderId="0" xfId="0" applyFont="1" applyBorder="1" applyAlignment="1">
      <alignment vertical="center"/>
    </xf>
    <xf numFmtId="0" fontId="8" fillId="0" borderId="0" xfId="0" applyNumberFormat="1" applyFont="1" applyBorder="1" applyAlignment="1">
      <alignment vertical="center"/>
    </xf>
    <xf numFmtId="0" fontId="21" fillId="3" borderId="54" xfId="3" applyFont="1" applyFill="1" applyBorder="1" applyAlignment="1">
      <alignment horizontal="center" vertical="center"/>
    </xf>
    <xf numFmtId="0" fontId="11" fillId="8" borderId="57" xfId="3" applyFont="1" applyFill="1" applyBorder="1" applyAlignment="1">
      <alignment horizontal="center" vertical="center"/>
    </xf>
    <xf numFmtId="0" fontId="22" fillId="9" borderId="57" xfId="3" applyFont="1" applyFill="1" applyBorder="1" applyAlignment="1">
      <alignment horizontal="center" vertical="center"/>
    </xf>
    <xf numFmtId="0" fontId="31" fillId="9" borderId="57" xfId="3" applyFont="1" applyFill="1" applyBorder="1" applyAlignment="1">
      <alignment horizontal="center" vertical="center"/>
    </xf>
    <xf numFmtId="0" fontId="8" fillId="0" borderId="58" xfId="3" applyFont="1" applyFill="1" applyBorder="1" applyAlignment="1">
      <alignment vertical="center"/>
    </xf>
    <xf numFmtId="0" fontId="22" fillId="0" borderId="57" xfId="3" applyFont="1" applyFill="1" applyBorder="1" applyAlignment="1">
      <alignment horizontal="center" vertical="center"/>
    </xf>
    <xf numFmtId="0" fontId="22" fillId="9" borderId="57" xfId="4" applyFont="1" applyFill="1" applyBorder="1" applyAlignment="1" applyProtection="1">
      <alignment horizontal="center" vertical="center"/>
    </xf>
    <xf numFmtId="0" fontId="22" fillId="0" borderId="57" xfId="3" applyFont="1" applyBorder="1" applyAlignment="1">
      <alignment horizontal="center" vertical="center"/>
    </xf>
    <xf numFmtId="0" fontId="22" fillId="10" borderId="57" xfId="3" applyFont="1" applyFill="1" applyBorder="1" applyAlignment="1">
      <alignment horizontal="center" vertical="center"/>
    </xf>
    <xf numFmtId="0" fontId="22" fillId="0" borderId="57" xfId="4" applyFont="1" applyFill="1" applyBorder="1" applyAlignment="1" applyProtection="1">
      <alignment horizontal="center" vertical="center"/>
    </xf>
    <xf numFmtId="0" fontId="25" fillId="8" borderId="57" xfId="4" applyFont="1" applyFill="1" applyBorder="1" applyAlignment="1" applyProtection="1">
      <alignment horizontal="center" vertical="center"/>
    </xf>
    <xf numFmtId="0" fontId="22" fillId="12" borderId="57" xfId="4" applyFont="1" applyFill="1" applyBorder="1" applyAlignment="1" applyProtection="1">
      <alignment horizontal="center" vertical="center"/>
    </xf>
    <xf numFmtId="0" fontId="22" fillId="10" borderId="57" xfId="4" applyFont="1" applyFill="1" applyBorder="1" applyAlignment="1" applyProtection="1">
      <alignment horizontal="center" vertical="center"/>
    </xf>
    <xf numFmtId="0" fontId="31" fillId="0" borderId="57" xfId="4" applyFont="1" applyFill="1" applyBorder="1" applyAlignment="1" applyProtection="1">
      <alignment horizontal="center" vertical="center"/>
    </xf>
    <xf numFmtId="0" fontId="25" fillId="8" borderId="57" xfId="3" applyFont="1" applyFill="1" applyBorder="1" applyAlignment="1">
      <alignment horizontal="center" vertical="center"/>
    </xf>
    <xf numFmtId="0" fontId="22" fillId="12" borderId="57" xfId="3" applyFont="1" applyFill="1" applyBorder="1" applyAlignment="1">
      <alignment horizontal="center" vertical="center"/>
    </xf>
    <xf numFmtId="0" fontId="8" fillId="0" borderId="60" xfId="3" applyFont="1" applyFill="1" applyBorder="1" applyAlignment="1">
      <alignment vertical="center" wrapText="1"/>
    </xf>
    <xf numFmtId="0" fontId="22" fillId="0" borderId="59" xfId="3" applyFont="1" applyFill="1" applyBorder="1" applyAlignment="1">
      <alignment horizontal="center" vertical="center"/>
    </xf>
    <xf numFmtId="0" fontId="22" fillId="4" borderId="61" xfId="3" applyFont="1" applyFill="1" applyBorder="1" applyAlignment="1">
      <alignment horizontal="center" vertical="center"/>
    </xf>
    <xf numFmtId="0" fontId="21" fillId="3" borderId="62" xfId="3" applyFont="1" applyFill="1" applyBorder="1" applyAlignment="1">
      <alignment horizontal="center" vertical="center"/>
    </xf>
    <xf numFmtId="0" fontId="21" fillId="3" borderId="63" xfId="3" applyFont="1" applyFill="1" applyBorder="1" applyAlignment="1">
      <alignment horizontal="center" vertical="center"/>
    </xf>
    <xf numFmtId="0" fontId="21" fillId="3" borderId="64" xfId="3" applyFont="1" applyFill="1" applyBorder="1" applyAlignment="1">
      <alignment horizontal="center" vertical="center"/>
    </xf>
    <xf numFmtId="4" fontId="11" fillId="8" borderId="66" xfId="3" applyNumberFormat="1" applyFont="1" applyFill="1" applyBorder="1" applyAlignment="1">
      <alignment vertical="center"/>
    </xf>
    <xf numFmtId="3" fontId="11" fillId="8" borderId="67" xfId="3" applyNumberFormat="1" applyFont="1" applyFill="1" applyBorder="1" applyAlignment="1">
      <alignment vertical="center"/>
    </xf>
    <xf numFmtId="3" fontId="11" fillId="8" borderId="4" xfId="3" applyNumberFormat="1" applyFont="1" applyFill="1" applyBorder="1" applyAlignment="1">
      <alignment vertical="center"/>
    </xf>
    <xf numFmtId="3" fontId="20" fillId="9" borderId="66" xfId="5" applyNumberFormat="1" applyFont="1" applyFill="1" applyBorder="1" applyAlignment="1">
      <alignment horizontal="center" vertical="center"/>
    </xf>
    <xf numFmtId="3" fontId="20" fillId="9" borderId="67" xfId="5" applyNumberFormat="1" applyFont="1" applyFill="1" applyBorder="1" applyAlignment="1">
      <alignment horizontal="center" vertical="center"/>
    </xf>
    <xf numFmtId="3" fontId="20" fillId="9" borderId="4" xfId="5" applyNumberFormat="1" applyFont="1" applyFill="1" applyBorder="1" applyAlignment="1">
      <alignment horizontal="center" vertical="center"/>
    </xf>
    <xf numFmtId="9" fontId="8" fillId="9" borderId="66" xfId="6" applyFont="1" applyFill="1" applyBorder="1" applyAlignment="1">
      <alignment horizontal="center" vertical="center"/>
    </xf>
    <xf numFmtId="9" fontId="8" fillId="9" borderId="67" xfId="6" applyFont="1" applyFill="1" applyBorder="1" applyAlignment="1">
      <alignment horizontal="center" vertical="center"/>
    </xf>
    <xf numFmtId="3" fontId="8" fillId="9" borderId="4" xfId="5" applyNumberFormat="1" applyFont="1" applyFill="1" applyBorder="1" applyAlignment="1">
      <alignment horizontal="center" vertical="center"/>
    </xf>
    <xf numFmtId="3" fontId="20" fillId="0" borderId="66" xfId="5" applyNumberFormat="1" applyFont="1" applyFill="1" applyBorder="1" applyAlignment="1">
      <alignment horizontal="right" vertical="center" indent="3"/>
    </xf>
    <xf numFmtId="3" fontId="20" fillId="0" borderId="67" xfId="5" applyNumberFormat="1" applyFont="1" applyFill="1" applyBorder="1" applyAlignment="1">
      <alignment horizontal="right" vertical="center" indent="3"/>
    </xf>
    <xf numFmtId="3" fontId="20" fillId="0" borderId="4" xfId="5" applyNumberFormat="1" applyFont="1" applyFill="1" applyBorder="1" applyAlignment="1">
      <alignment horizontal="right" vertical="center" indent="3"/>
    </xf>
    <xf numFmtId="3" fontId="20" fillId="9" borderId="66" xfId="3" applyNumberFormat="1" applyFont="1" applyFill="1" applyBorder="1" applyAlignment="1">
      <alignment horizontal="center" vertical="center"/>
    </xf>
    <xf numFmtId="3" fontId="20" fillId="9" borderId="67" xfId="3" applyNumberFormat="1" applyFont="1" applyFill="1" applyBorder="1" applyAlignment="1">
      <alignment horizontal="center" vertical="center"/>
    </xf>
    <xf numFmtId="3" fontId="20" fillId="9" borderId="4" xfId="3" applyNumberFormat="1" applyFont="1" applyFill="1" applyBorder="1" applyAlignment="1">
      <alignment horizontal="center" vertical="center"/>
    </xf>
    <xf numFmtId="3" fontId="8" fillId="0" borderId="66" xfId="5" applyNumberFormat="1" applyFont="1" applyFill="1" applyBorder="1" applyAlignment="1">
      <alignment horizontal="right" vertical="center" indent="3"/>
    </xf>
    <xf numFmtId="3" fontId="8" fillId="0" borderId="67" xfId="5" applyNumberFormat="1" applyFont="1" applyFill="1" applyBorder="1" applyAlignment="1">
      <alignment horizontal="right" vertical="center" indent="3"/>
    </xf>
    <xf numFmtId="3" fontId="8" fillId="0" borderId="4" xfId="5" applyNumberFormat="1" applyFont="1" applyFill="1" applyBorder="1" applyAlignment="1">
      <alignment horizontal="right" vertical="center" indent="3"/>
    </xf>
    <xf numFmtId="4" fontId="20" fillId="0" borderId="66" xfId="2" applyNumberFormat="1" applyFont="1" applyFill="1" applyBorder="1" applyAlignment="1">
      <alignment horizontal="right" vertical="center" indent="3"/>
    </xf>
    <xf numFmtId="3" fontId="20" fillId="0" borderId="67" xfId="5" applyNumberFormat="1" applyFont="1" applyBorder="1" applyAlignment="1">
      <alignment horizontal="right" vertical="center" indent="3"/>
    </xf>
    <xf numFmtId="3" fontId="20" fillId="0" borderId="4" xfId="5" applyNumberFormat="1" applyFont="1" applyBorder="1" applyAlignment="1">
      <alignment horizontal="right" vertical="center" indent="3"/>
    </xf>
    <xf numFmtId="4" fontId="20" fillId="10" borderId="66" xfId="2" applyNumberFormat="1" applyFont="1" applyFill="1" applyBorder="1" applyAlignment="1">
      <alignment horizontal="right" vertical="center" indent="3"/>
    </xf>
    <xf numFmtId="3" fontId="20" fillId="10" borderId="67" xfId="5" applyNumberFormat="1" applyFont="1" applyFill="1" applyBorder="1" applyAlignment="1">
      <alignment horizontal="right" vertical="center" indent="3"/>
    </xf>
    <xf numFmtId="3" fontId="20" fillId="10" borderId="4" xfId="5" applyNumberFormat="1" applyFont="1" applyFill="1" applyBorder="1" applyAlignment="1">
      <alignment horizontal="right" vertical="center" indent="3"/>
    </xf>
    <xf numFmtId="4" fontId="8" fillId="0" borderId="66" xfId="2" applyNumberFormat="1" applyFont="1" applyFill="1" applyBorder="1" applyAlignment="1">
      <alignment horizontal="right" vertical="center" indent="3"/>
    </xf>
    <xf numFmtId="3" fontId="8" fillId="0" borderId="67" xfId="5" applyNumberFormat="1" applyFont="1" applyBorder="1" applyAlignment="1">
      <alignment horizontal="right" vertical="center" indent="3"/>
    </xf>
    <xf numFmtId="3" fontId="8" fillId="0" borderId="4" xfId="5" applyNumberFormat="1" applyFont="1" applyBorder="1" applyAlignment="1">
      <alignment horizontal="right" vertical="center" indent="3"/>
    </xf>
    <xf numFmtId="4" fontId="20" fillId="0" borderId="66" xfId="1" applyNumberFormat="1" applyFont="1" applyBorder="1" applyAlignment="1">
      <alignment horizontal="right" vertical="center" indent="3"/>
    </xf>
    <xf numFmtId="4" fontId="24" fillId="8" borderId="66" xfId="1" applyNumberFormat="1" applyFont="1" applyFill="1" applyBorder="1" applyAlignment="1">
      <alignment horizontal="right" vertical="center" indent="3"/>
    </xf>
    <xf numFmtId="3" fontId="24" fillId="8" borderId="67" xfId="5" applyNumberFormat="1" applyFont="1" applyFill="1" applyBorder="1" applyAlignment="1">
      <alignment horizontal="right" vertical="center" indent="3"/>
    </xf>
    <xf numFmtId="3" fontId="24" fillId="8" borderId="4" xfId="5" applyNumberFormat="1" applyFont="1" applyFill="1" applyBorder="1" applyAlignment="1">
      <alignment horizontal="right" vertical="center" indent="3"/>
    </xf>
    <xf numFmtId="3" fontId="20" fillId="12" borderId="66" xfId="1" applyNumberFormat="1" applyFont="1" applyFill="1" applyBorder="1" applyAlignment="1">
      <alignment horizontal="center" vertical="center"/>
    </xf>
    <xf numFmtId="0" fontId="8" fillId="0" borderId="66" xfId="3" applyFont="1" applyBorder="1" applyAlignment="1">
      <alignment horizontal="right" vertical="center" indent="3"/>
    </xf>
    <xf numFmtId="165" fontId="20" fillId="10" borderId="66" xfId="5" applyNumberFormat="1" applyFont="1" applyFill="1" applyBorder="1" applyAlignment="1">
      <alignment horizontal="right" vertical="center" indent="3"/>
    </xf>
    <xf numFmtId="165" fontId="20" fillId="10" borderId="67" xfId="5" applyNumberFormat="1" applyFont="1" applyFill="1" applyBorder="1" applyAlignment="1">
      <alignment horizontal="right" vertical="center" indent="3"/>
    </xf>
    <xf numFmtId="165" fontId="20" fillId="10" borderId="4" xfId="5" applyNumberFormat="1" applyFont="1" applyFill="1" applyBorder="1" applyAlignment="1">
      <alignment horizontal="right" vertical="center" indent="3"/>
    </xf>
    <xf numFmtId="165" fontId="8" fillId="0" borderId="67" xfId="5" applyNumberFormat="1" applyFont="1" applyBorder="1" applyAlignment="1">
      <alignment horizontal="right" vertical="center" indent="3"/>
    </xf>
    <xf numFmtId="165" fontId="8" fillId="0" borderId="4" xfId="5" applyNumberFormat="1" applyFont="1" applyBorder="1" applyAlignment="1">
      <alignment horizontal="right" vertical="center" indent="3"/>
    </xf>
    <xf numFmtId="3" fontId="20" fillId="12" borderId="67" xfId="5" applyNumberFormat="1" applyFont="1" applyFill="1" applyBorder="1" applyAlignment="1">
      <alignment horizontal="center" vertical="center"/>
    </xf>
    <xf numFmtId="164" fontId="20" fillId="0" borderId="66" xfId="1" applyNumberFormat="1" applyFont="1" applyFill="1" applyBorder="1" applyAlignment="1">
      <alignment horizontal="center" vertical="center"/>
    </xf>
    <xf numFmtId="164" fontId="20" fillId="0" borderId="67" xfId="5" applyNumberFormat="1" applyFont="1" applyFill="1" applyBorder="1" applyAlignment="1">
      <alignment horizontal="center" vertical="center"/>
    </xf>
    <xf numFmtId="3" fontId="20" fillId="0" borderId="4" xfId="5" applyNumberFormat="1" applyFont="1" applyFill="1" applyBorder="1" applyAlignment="1">
      <alignment horizontal="center" vertical="center"/>
    </xf>
    <xf numFmtId="164" fontId="8" fillId="0" borderId="67" xfId="5" applyNumberFormat="1" applyFont="1" applyFill="1" applyBorder="1" applyAlignment="1">
      <alignment horizontal="center" vertical="center"/>
    </xf>
    <xf numFmtId="4" fontId="8" fillId="0" borderId="66" xfId="1" applyNumberFormat="1" applyFont="1" applyFill="1" applyBorder="1" applyAlignment="1">
      <alignment horizontal="right" vertical="center" indent="3"/>
    </xf>
    <xf numFmtId="0" fontId="0" fillId="0" borderId="66" xfId="0" applyFont="1" applyFill="1" applyBorder="1" applyAlignment="1">
      <alignment vertical="center"/>
    </xf>
    <xf numFmtId="0" fontId="0" fillId="0" borderId="67" xfId="0" applyFont="1" applyFill="1" applyBorder="1" applyAlignment="1">
      <alignment vertical="center"/>
    </xf>
    <xf numFmtId="0" fontId="0" fillId="0" borderId="4" xfId="0" applyFont="1" applyFill="1" applyBorder="1" applyAlignment="1">
      <alignment vertical="center"/>
    </xf>
    <xf numFmtId="4" fontId="20" fillId="10" borderId="66" xfId="1" applyNumberFormat="1" applyFont="1" applyFill="1" applyBorder="1" applyAlignment="1">
      <alignment horizontal="right" vertical="center" indent="3"/>
    </xf>
    <xf numFmtId="4" fontId="20" fillId="0" borderId="66" xfId="1" applyNumberFormat="1" applyFont="1" applyFill="1" applyBorder="1" applyAlignment="1">
      <alignment horizontal="right" vertical="center" indent="3"/>
    </xf>
    <xf numFmtId="3" fontId="20" fillId="9" borderId="66" xfId="1" applyNumberFormat="1" applyFont="1" applyFill="1" applyBorder="1" applyAlignment="1">
      <alignment horizontal="center" vertical="center"/>
    </xf>
    <xf numFmtId="165" fontId="20" fillId="0" borderId="66" xfId="5" applyNumberFormat="1" applyFont="1" applyFill="1" applyBorder="1" applyAlignment="1">
      <alignment horizontal="right" vertical="center" indent="3"/>
    </xf>
    <xf numFmtId="165" fontId="20" fillId="0" borderId="67" xfId="5" applyNumberFormat="1" applyFont="1" applyFill="1" applyBorder="1" applyAlignment="1">
      <alignment horizontal="right" vertical="center" indent="3"/>
    </xf>
    <xf numFmtId="165" fontId="8" fillId="0" borderId="4" xfId="5" applyNumberFormat="1" applyFont="1" applyFill="1" applyBorder="1" applyAlignment="1">
      <alignment horizontal="right" vertical="center" indent="3"/>
    </xf>
    <xf numFmtId="4" fontId="24" fillId="8" borderId="66" xfId="2" applyNumberFormat="1" applyFont="1" applyFill="1" applyBorder="1" applyAlignment="1">
      <alignment horizontal="right" vertical="center" indent="3"/>
    </xf>
    <xf numFmtId="3" fontId="20" fillId="8" borderId="66" xfId="5" applyNumberFormat="1" applyFont="1" applyFill="1" applyBorder="1" applyAlignment="1">
      <alignment horizontal="right" vertical="center" indent="3"/>
    </xf>
    <xf numFmtId="3" fontId="20" fillId="8" borderId="67" xfId="5" applyNumberFormat="1" applyFont="1" applyFill="1" applyBorder="1" applyAlignment="1">
      <alignment horizontal="right" vertical="center" indent="3"/>
    </xf>
    <xf numFmtId="3" fontId="20" fillId="8" borderId="4" xfId="5" applyNumberFormat="1" applyFont="1" applyFill="1" applyBorder="1" applyAlignment="1">
      <alignment horizontal="right" vertical="center" indent="3"/>
    </xf>
    <xf numFmtId="3" fontId="8" fillId="0" borderId="62" xfId="5" applyNumberFormat="1" applyFont="1" applyFill="1" applyBorder="1" applyAlignment="1">
      <alignment horizontal="right" vertical="center" indent="3"/>
    </xf>
    <xf numFmtId="3" fontId="8" fillId="0" borderId="63" xfId="5" applyNumberFormat="1" applyFont="1" applyFill="1" applyBorder="1" applyAlignment="1">
      <alignment horizontal="right" vertical="center" indent="3"/>
    </xf>
    <xf numFmtId="3" fontId="20" fillId="0" borderId="64" xfId="5" applyNumberFormat="1" applyFont="1" applyBorder="1" applyAlignment="1">
      <alignment horizontal="right" vertical="center" indent="3"/>
    </xf>
    <xf numFmtId="3" fontId="20" fillId="4" borderId="68" xfId="3" applyNumberFormat="1" applyFont="1" applyFill="1" applyBorder="1" applyAlignment="1">
      <alignment horizontal="right" vertical="center" indent="3"/>
    </xf>
    <xf numFmtId="3" fontId="20" fillId="4" borderId="69" xfId="3" applyNumberFormat="1" applyFont="1" applyFill="1" applyBorder="1" applyAlignment="1">
      <alignment horizontal="right" vertical="center" indent="3"/>
    </xf>
    <xf numFmtId="3" fontId="20" fillId="4" borderId="5" xfId="3" applyNumberFormat="1" applyFont="1" applyFill="1" applyBorder="1" applyAlignment="1">
      <alignment horizontal="right" vertical="center" indent="3"/>
    </xf>
    <xf numFmtId="3" fontId="8" fillId="12" borderId="66" xfId="2" applyNumberFormat="1" applyFont="1" applyFill="1" applyBorder="1" applyAlignment="1">
      <alignment horizontal="center" vertical="center"/>
    </xf>
    <xf numFmtId="3" fontId="8" fillId="12" borderId="67" xfId="5" applyNumberFormat="1" applyFont="1" applyFill="1" applyBorder="1" applyAlignment="1">
      <alignment horizontal="center" vertical="center"/>
    </xf>
    <xf numFmtId="3" fontId="8" fillId="12" borderId="4" xfId="5" applyNumberFormat="1" applyFont="1" applyFill="1" applyBorder="1" applyAlignment="1">
      <alignment horizontal="center" vertical="center"/>
    </xf>
    <xf numFmtId="3" fontId="8" fillId="12" borderId="66" xfId="1" applyNumberFormat="1" applyFont="1" applyFill="1" applyBorder="1" applyAlignment="1">
      <alignment horizontal="center" vertical="center"/>
    </xf>
    <xf numFmtId="3" fontId="20" fillId="9" borderId="67" xfId="1" applyNumberFormat="1" applyFont="1" applyFill="1" applyBorder="1" applyAlignment="1">
      <alignment horizontal="center" vertical="center"/>
    </xf>
    <xf numFmtId="3" fontId="20" fillId="9" borderId="4" xfId="1" applyNumberFormat="1" applyFont="1" applyFill="1" applyBorder="1" applyAlignment="1">
      <alignment horizontal="center" vertical="center"/>
    </xf>
    <xf numFmtId="0" fontId="21" fillId="3" borderId="53" xfId="3" applyFont="1" applyFill="1" applyBorder="1" applyAlignment="1">
      <alignment horizontal="center" vertical="center"/>
    </xf>
    <xf numFmtId="0" fontId="21" fillId="3" borderId="63" xfId="3" applyFont="1" applyFill="1" applyBorder="1" applyAlignment="1">
      <alignment vertical="center"/>
    </xf>
    <xf numFmtId="0" fontId="15" fillId="8" borderId="56" xfId="4" applyFont="1" applyFill="1" applyBorder="1" applyAlignment="1" applyProtection="1">
      <alignment vertical="center"/>
    </xf>
    <xf numFmtId="0" fontId="11" fillId="8" borderId="67" xfId="3" applyFont="1" applyFill="1" applyBorder="1" applyAlignment="1">
      <alignment vertical="center"/>
    </xf>
    <xf numFmtId="0" fontId="20" fillId="9" borderId="67" xfId="3" applyFont="1" applyFill="1" applyBorder="1" applyAlignment="1">
      <alignment vertical="center"/>
    </xf>
    <xf numFmtId="0" fontId="8" fillId="0" borderId="67" xfId="3" applyFont="1" applyFill="1" applyBorder="1" applyAlignment="1">
      <alignment vertical="center"/>
    </xf>
    <xf numFmtId="0" fontId="20" fillId="9" borderId="67" xfId="4" applyFont="1" applyFill="1" applyBorder="1" applyAlignment="1" applyProtection="1">
      <alignment vertical="center"/>
    </xf>
    <xf numFmtId="0" fontId="20" fillId="0" borderId="67" xfId="3" applyFont="1" applyFill="1" applyBorder="1" applyAlignment="1">
      <alignment vertical="center"/>
    </xf>
    <xf numFmtId="0" fontId="8" fillId="0" borderId="67" xfId="4" applyFont="1" applyFill="1" applyBorder="1" applyAlignment="1" applyProtection="1">
      <alignment horizontal="left" vertical="center" indent="3"/>
    </xf>
    <xf numFmtId="0" fontId="8" fillId="0" borderId="56" xfId="3" applyFont="1" applyFill="1" applyBorder="1" applyAlignment="1">
      <alignment horizontal="center" vertical="center"/>
    </xf>
    <xf numFmtId="0" fontId="8" fillId="0" borderId="67" xfId="3" applyFont="1" applyFill="1" applyBorder="1" applyAlignment="1">
      <alignment horizontal="left" vertical="center" indent="3"/>
    </xf>
    <xf numFmtId="0" fontId="20" fillId="0" borderId="67" xfId="4" applyFont="1" applyFill="1" applyBorder="1" applyAlignment="1" applyProtection="1">
      <alignment vertical="center"/>
    </xf>
    <xf numFmtId="0" fontId="8" fillId="0" borderId="56" xfId="3" applyFont="1" applyBorder="1" applyAlignment="1">
      <alignment horizontal="center" vertical="center"/>
    </xf>
    <xf numFmtId="0" fontId="0" fillId="0" borderId="67" xfId="0" applyFont="1" applyBorder="1" applyAlignment="1">
      <alignment horizontal="left" vertical="center" indent="3"/>
    </xf>
    <xf numFmtId="0" fontId="8" fillId="0" borderId="56" xfId="4" applyFont="1" applyFill="1" applyBorder="1" applyAlignment="1" applyProtection="1">
      <alignment horizontal="center" vertical="center"/>
    </xf>
    <xf numFmtId="0" fontId="24" fillId="10" borderId="67" xfId="3" applyFont="1" applyFill="1" applyBorder="1" applyAlignment="1">
      <alignment vertical="center"/>
    </xf>
    <xf numFmtId="0" fontId="23" fillId="0" borderId="67" xfId="3" applyFont="1" applyFill="1" applyBorder="1" applyAlignment="1">
      <alignment vertical="center"/>
    </xf>
    <xf numFmtId="0" fontId="8" fillId="12" borderId="67" xfId="4" applyFont="1" applyFill="1" applyBorder="1" applyAlignment="1" applyProtection="1">
      <alignment horizontal="left" vertical="center" indent="3"/>
    </xf>
    <xf numFmtId="0" fontId="8" fillId="0" borderId="67" xfId="4" applyFont="1" applyFill="1" applyBorder="1" applyAlignment="1" applyProtection="1">
      <alignment vertical="center"/>
    </xf>
    <xf numFmtId="0" fontId="0" fillId="0" borderId="67" xfId="0" applyFont="1" applyFill="1" applyBorder="1" applyAlignment="1">
      <alignment horizontal="left" vertical="center" indent="3"/>
    </xf>
    <xf numFmtId="0" fontId="29" fillId="0" borderId="67" xfId="3" applyFont="1" applyFill="1" applyBorder="1" applyAlignment="1">
      <alignment vertical="center"/>
    </xf>
    <xf numFmtId="0" fontId="0" fillId="0" borderId="56" xfId="0" applyFont="1" applyFill="1" applyBorder="1" applyAlignment="1">
      <alignment horizontal="center" vertical="center"/>
    </xf>
    <xf numFmtId="0" fontId="15" fillId="8" borderId="56" xfId="3" applyFont="1" applyFill="1" applyBorder="1" applyAlignment="1">
      <alignment vertical="center"/>
    </xf>
    <xf numFmtId="0" fontId="0" fillId="0" borderId="67" xfId="0" applyFont="1" applyFill="1" applyBorder="1" applyAlignment="1">
      <alignment horizontal="left" vertical="center" wrapText="1" indent="3"/>
    </xf>
    <xf numFmtId="0" fontId="8" fillId="8" borderId="0" xfId="0" applyNumberFormat="1" applyFont="1" applyFill="1" applyBorder="1" applyAlignment="1">
      <alignment vertical="center"/>
    </xf>
    <xf numFmtId="0" fontId="29" fillId="8" borderId="0" xfId="0" applyFont="1" applyFill="1" applyBorder="1" applyAlignment="1">
      <alignment vertical="center"/>
    </xf>
    <xf numFmtId="3" fontId="20" fillId="17" borderId="0" xfId="3" applyNumberFormat="1" applyFont="1" applyFill="1" applyBorder="1" applyAlignment="1">
      <alignment horizontal="right" vertical="center" indent="3"/>
    </xf>
    <xf numFmtId="0" fontId="19" fillId="3" borderId="5" xfId="3" applyFont="1" applyFill="1" applyBorder="1" applyAlignment="1">
      <alignment horizontal="center" vertical="center" wrapText="1"/>
    </xf>
    <xf numFmtId="0" fontId="19" fillId="6" borderId="79" xfId="3" applyFont="1" applyFill="1" applyBorder="1" applyAlignment="1">
      <alignment horizontal="center" vertical="center" wrapText="1"/>
    </xf>
    <xf numFmtId="165" fontId="20" fillId="0" borderId="67" xfId="5" applyNumberFormat="1" applyFont="1" applyBorder="1" applyAlignment="1">
      <alignment horizontal="right" vertical="center" indent="3"/>
    </xf>
    <xf numFmtId="165" fontId="20" fillId="0" borderId="4" xfId="5" applyNumberFormat="1" applyFont="1" applyBorder="1" applyAlignment="1">
      <alignment horizontal="right" vertical="center" indent="3"/>
    </xf>
    <xf numFmtId="0" fontId="33" fillId="0" borderId="56" xfId="0" applyFont="1" applyFill="1" applyBorder="1" applyAlignment="1">
      <alignment horizontal="center" vertical="center"/>
    </xf>
    <xf numFmtId="0" fontId="29" fillId="8" borderId="67" xfId="3" applyFont="1" applyFill="1" applyBorder="1" applyAlignment="1">
      <alignment vertical="center"/>
    </xf>
    <xf numFmtId="0" fontId="31" fillId="8" borderId="57" xfId="4" applyFont="1" applyFill="1" applyBorder="1" applyAlignment="1" applyProtection="1">
      <alignment horizontal="center" vertical="center"/>
    </xf>
    <xf numFmtId="0" fontId="8" fillId="0" borderId="0" xfId="3" applyFont="1" applyBorder="1" applyAlignment="1">
      <alignment vertical="center"/>
    </xf>
    <xf numFmtId="165" fontId="0" fillId="0" borderId="4" xfId="0" applyNumberFormat="1" applyFont="1" applyFill="1" applyBorder="1" applyAlignment="1">
      <alignment vertical="center"/>
    </xf>
    <xf numFmtId="165" fontId="0" fillId="0" borderId="66" xfId="0" applyNumberFormat="1" applyFont="1" applyFill="1" applyBorder="1" applyAlignment="1">
      <alignment horizontal="right" vertical="center" indent="3"/>
    </xf>
    <xf numFmtId="0" fontId="21" fillId="3" borderId="72" xfId="3" applyFont="1" applyFill="1" applyBorder="1" applyAlignment="1">
      <alignment horizontal="center" vertical="center"/>
    </xf>
    <xf numFmtId="4" fontId="11" fillId="8" borderId="58" xfId="3" applyNumberFormat="1" applyFont="1" applyFill="1" applyBorder="1" applyAlignment="1">
      <alignment vertical="center"/>
    </xf>
    <xf numFmtId="9" fontId="8" fillId="9" borderId="58" xfId="6" applyFont="1" applyFill="1" applyBorder="1" applyAlignment="1">
      <alignment horizontal="center" vertical="center"/>
    </xf>
    <xf numFmtId="3" fontId="20" fillId="0" borderId="58" xfId="5" applyNumberFormat="1" applyFont="1" applyFill="1" applyBorder="1" applyAlignment="1">
      <alignment horizontal="right" vertical="center" indent="3"/>
    </xf>
    <xf numFmtId="3" fontId="8" fillId="0" borderId="58" xfId="5" applyNumberFormat="1" applyFont="1" applyFill="1" applyBorder="1" applyAlignment="1">
      <alignment horizontal="right" vertical="center" indent="3"/>
    </xf>
    <xf numFmtId="4" fontId="20" fillId="0" borderId="58" xfId="2" applyNumberFormat="1" applyFont="1" applyFill="1" applyBorder="1" applyAlignment="1">
      <alignment horizontal="right" vertical="center" indent="3"/>
    </xf>
    <xf numFmtId="4" fontId="20" fillId="10" borderId="58" xfId="2" applyNumberFormat="1" applyFont="1" applyFill="1" applyBorder="1" applyAlignment="1">
      <alignment horizontal="right" vertical="center" indent="3"/>
    </xf>
    <xf numFmtId="4" fontId="8" fillId="0" borderId="58" xfId="2" applyNumberFormat="1" applyFont="1" applyFill="1" applyBorder="1" applyAlignment="1">
      <alignment horizontal="right" vertical="center" indent="3"/>
    </xf>
    <xf numFmtId="4" fontId="20" fillId="0" borderId="58" xfId="1" applyNumberFormat="1" applyFont="1" applyBorder="1" applyAlignment="1">
      <alignment horizontal="right" vertical="center" indent="3"/>
    </xf>
    <xf numFmtId="4" fontId="24" fillId="8" borderId="58" xfId="1" applyNumberFormat="1" applyFont="1" applyFill="1" applyBorder="1" applyAlignment="1">
      <alignment horizontal="right" vertical="center" indent="3"/>
    </xf>
    <xf numFmtId="3" fontId="20" fillId="12" borderId="58" xfId="1" applyNumberFormat="1" applyFont="1" applyFill="1" applyBorder="1" applyAlignment="1">
      <alignment horizontal="center" vertical="center"/>
    </xf>
    <xf numFmtId="0" fontId="20" fillId="0" borderId="58" xfId="3" applyFont="1" applyBorder="1" applyAlignment="1">
      <alignment horizontal="right" vertical="center" indent="3"/>
    </xf>
    <xf numFmtId="165" fontId="20" fillId="10" borderId="58" xfId="5" applyNumberFormat="1" applyFont="1" applyFill="1" applyBorder="1" applyAlignment="1">
      <alignment horizontal="right" vertical="center" indent="3"/>
    </xf>
    <xf numFmtId="164" fontId="20" fillId="0" borderId="58" xfId="1" applyNumberFormat="1" applyFont="1" applyFill="1" applyBorder="1" applyAlignment="1">
      <alignment horizontal="center" vertical="center"/>
    </xf>
    <xf numFmtId="4" fontId="20" fillId="0" borderId="58" xfId="1" applyNumberFormat="1" applyFont="1" applyFill="1" applyBorder="1" applyAlignment="1">
      <alignment horizontal="right" vertical="center" indent="3"/>
    </xf>
    <xf numFmtId="0" fontId="0" fillId="0" borderId="58" xfId="0" applyFont="1" applyFill="1" applyBorder="1" applyAlignment="1">
      <alignment vertical="center"/>
    </xf>
    <xf numFmtId="4" fontId="20" fillId="10" borderId="58" xfId="1" applyNumberFormat="1" applyFont="1" applyFill="1" applyBorder="1" applyAlignment="1">
      <alignment horizontal="right" vertical="center" indent="3"/>
    </xf>
    <xf numFmtId="165" fontId="20" fillId="0" borderId="58" xfId="5" applyNumberFormat="1" applyFont="1" applyFill="1" applyBorder="1" applyAlignment="1">
      <alignment horizontal="right" vertical="center" indent="3"/>
    </xf>
    <xf numFmtId="4" fontId="24" fillId="8" borderId="58" xfId="2" applyNumberFormat="1" applyFont="1" applyFill="1" applyBorder="1" applyAlignment="1">
      <alignment horizontal="right" vertical="center" indent="3"/>
    </xf>
    <xf numFmtId="3" fontId="20" fillId="8" borderId="58" xfId="5" applyNumberFormat="1" applyFont="1" applyFill="1" applyBorder="1" applyAlignment="1">
      <alignment horizontal="right" vertical="center" indent="3"/>
    </xf>
    <xf numFmtId="165" fontId="0" fillId="0" borderId="58" xfId="0" applyNumberFormat="1" applyFont="1" applyFill="1" applyBorder="1" applyAlignment="1">
      <alignment horizontal="right" vertical="center" indent="3"/>
    </xf>
    <xf numFmtId="0" fontId="0" fillId="8" borderId="80" xfId="0" applyFill="1" applyBorder="1">
      <alignment vertical="center" wrapText="1"/>
    </xf>
    <xf numFmtId="0" fontId="0" fillId="8" borderId="0" xfId="0" applyFill="1" applyBorder="1">
      <alignment vertical="center" wrapText="1"/>
    </xf>
    <xf numFmtId="165" fontId="0" fillId="0" borderId="67" xfId="0" applyNumberFormat="1" applyFont="1" applyFill="1" applyBorder="1" applyAlignment="1">
      <alignment horizontal="right" vertical="center" indent="3"/>
    </xf>
    <xf numFmtId="9" fontId="8" fillId="0" borderId="0" xfId="6" applyFont="1" applyFill="1" applyBorder="1" applyAlignment="1">
      <alignment vertical="center"/>
    </xf>
    <xf numFmtId="0" fontId="29" fillId="0" borderId="0" xfId="0" applyFont="1" applyFill="1" applyBorder="1" applyAlignment="1">
      <alignment vertical="center"/>
    </xf>
    <xf numFmtId="3" fontId="20" fillId="9" borderId="58" xfId="1" applyNumberFormat="1" applyFont="1" applyFill="1" applyBorder="1" applyAlignment="1">
      <alignment horizontal="center" vertical="center"/>
    </xf>
    <xf numFmtId="3" fontId="8" fillId="12" borderId="58" xfId="2" applyNumberFormat="1" applyFont="1" applyFill="1" applyBorder="1" applyAlignment="1">
      <alignment horizontal="center" vertical="center"/>
    </xf>
    <xf numFmtId="0" fontId="20" fillId="4" borderId="74" xfId="3" applyFont="1" applyFill="1" applyBorder="1" applyAlignment="1">
      <alignment vertical="center"/>
    </xf>
    <xf numFmtId="169" fontId="40" fillId="8" borderId="74" xfId="1" applyNumberFormat="1" applyFont="1" applyFill="1" applyBorder="1" applyAlignment="1">
      <alignment vertical="center"/>
    </xf>
    <xf numFmtId="169" fontId="40" fillId="8" borderId="69" xfId="1" applyNumberFormat="1" applyFont="1" applyFill="1" applyBorder="1" applyAlignment="1">
      <alignment vertical="center"/>
    </xf>
    <xf numFmtId="9" fontId="41" fillId="8" borderId="5" xfId="3" applyNumberFormat="1" applyFont="1" applyFill="1" applyBorder="1" applyAlignment="1">
      <alignment vertical="center"/>
    </xf>
    <xf numFmtId="0" fontId="42" fillId="0" borderId="0" xfId="3" applyFont="1" applyFill="1" applyAlignment="1">
      <alignment vertical="center"/>
    </xf>
    <xf numFmtId="0" fontId="43" fillId="0" borderId="0" xfId="0" applyFont="1">
      <alignment vertical="center" wrapText="1"/>
    </xf>
    <xf numFmtId="0" fontId="43" fillId="0" borderId="0" xfId="0" applyFont="1" applyAlignment="1">
      <alignment vertical="center"/>
    </xf>
    <xf numFmtId="3" fontId="8" fillId="0" borderId="72" xfId="5" applyNumberFormat="1" applyFont="1" applyFill="1" applyBorder="1" applyAlignment="1">
      <alignment horizontal="right" vertical="center" indent="3"/>
    </xf>
    <xf numFmtId="0" fontId="8" fillId="4" borderId="2" xfId="3" applyFont="1" applyFill="1" applyBorder="1" applyAlignment="1">
      <alignment horizontal="center" vertical="center"/>
    </xf>
    <xf numFmtId="0" fontId="20" fillId="4" borderId="58" xfId="3" applyFont="1" applyFill="1" applyBorder="1" applyAlignment="1">
      <alignment vertical="center"/>
    </xf>
    <xf numFmtId="0" fontId="22" fillId="4" borderId="57" xfId="3" applyFont="1" applyFill="1" applyBorder="1" applyAlignment="1">
      <alignment horizontal="center" vertical="center"/>
    </xf>
    <xf numFmtId="3" fontId="20" fillId="4" borderId="66" xfId="5" applyNumberFormat="1" applyFont="1" applyFill="1" applyBorder="1" applyAlignment="1">
      <alignment horizontal="right" vertical="center" indent="3"/>
    </xf>
    <xf numFmtId="3" fontId="20" fillId="4" borderId="67" xfId="5" applyNumberFormat="1" applyFont="1" applyFill="1" applyBorder="1" applyAlignment="1">
      <alignment horizontal="right" vertical="center" indent="3"/>
    </xf>
    <xf numFmtId="3" fontId="20" fillId="4" borderId="4" xfId="5" applyNumberFormat="1" applyFont="1" applyFill="1" applyBorder="1" applyAlignment="1">
      <alignment horizontal="right" vertical="center" indent="3"/>
    </xf>
    <xf numFmtId="3" fontId="20" fillId="4" borderId="0" xfId="5" applyNumberFormat="1" applyFont="1" applyFill="1" applyBorder="1" applyAlignment="1">
      <alignment horizontal="right" vertical="center" indent="3"/>
    </xf>
    <xf numFmtId="3" fontId="20" fillId="15" borderId="58" xfId="5" applyNumberFormat="1" applyFont="1" applyFill="1" applyBorder="1" applyAlignment="1">
      <alignment horizontal="right" vertical="center" indent="3"/>
    </xf>
    <xf numFmtId="3" fontId="20" fillId="15" borderId="67" xfId="5" applyNumberFormat="1" applyFont="1" applyFill="1" applyBorder="1" applyAlignment="1">
      <alignment horizontal="right" vertical="center" indent="3"/>
    </xf>
    <xf numFmtId="3" fontId="20" fillId="15" borderId="4" xfId="5" applyNumberFormat="1" applyFont="1" applyFill="1" applyBorder="1" applyAlignment="1">
      <alignment horizontal="right" vertical="center" indent="3"/>
    </xf>
    <xf numFmtId="3" fontId="20" fillId="15" borderId="74" xfId="3" applyNumberFormat="1" applyFont="1" applyFill="1" applyBorder="1" applyAlignment="1">
      <alignment horizontal="right" vertical="center" indent="3"/>
    </xf>
    <xf numFmtId="3" fontId="20" fillId="15" borderId="69" xfId="3" applyNumberFormat="1" applyFont="1" applyFill="1" applyBorder="1" applyAlignment="1">
      <alignment horizontal="right" vertical="center" indent="3"/>
    </xf>
    <xf numFmtId="3" fontId="20" fillId="15" borderId="5" xfId="3" applyNumberFormat="1" applyFont="1" applyFill="1" applyBorder="1" applyAlignment="1">
      <alignment horizontal="right" vertical="center" indent="3"/>
    </xf>
    <xf numFmtId="4" fontId="8" fillId="0" borderId="58" xfId="1" applyNumberFormat="1" applyFont="1" applyFill="1" applyBorder="1" applyAlignment="1">
      <alignment horizontal="right" vertical="center" indent="3"/>
    </xf>
    <xf numFmtId="3" fontId="8" fillId="12" borderId="58" xfId="1" applyNumberFormat="1" applyFont="1" applyFill="1" applyBorder="1" applyAlignment="1">
      <alignment horizontal="center" vertical="center"/>
    </xf>
    <xf numFmtId="0" fontId="20" fillId="0" borderId="83" xfId="3" applyFont="1" applyFill="1" applyBorder="1" applyAlignment="1">
      <alignment vertical="center"/>
    </xf>
    <xf numFmtId="0" fontId="22" fillId="0" borderId="84" xfId="3" applyFont="1" applyFill="1" applyBorder="1" applyAlignment="1">
      <alignment horizontal="center" vertical="center"/>
    </xf>
    <xf numFmtId="3" fontId="8" fillId="0" borderId="39" xfId="5" applyNumberFormat="1" applyFont="1" applyFill="1" applyBorder="1" applyAlignment="1">
      <alignment horizontal="right" vertical="center" indent="3"/>
    </xf>
    <xf numFmtId="3" fontId="8" fillId="0" borderId="83" xfId="5" applyNumberFormat="1" applyFont="1" applyFill="1" applyBorder="1" applyAlignment="1">
      <alignment horizontal="right" vertical="center" indent="3"/>
    </xf>
    <xf numFmtId="3" fontId="8" fillId="0" borderId="10" xfId="5" applyNumberFormat="1" applyFont="1" applyFill="1" applyBorder="1" applyAlignment="1">
      <alignment horizontal="right" vertical="center" indent="3"/>
    </xf>
    <xf numFmtId="3" fontId="20" fillId="0" borderId="15" xfId="5" applyNumberFormat="1" applyFont="1" applyFill="1" applyBorder="1" applyAlignment="1">
      <alignment horizontal="right" vertical="center" indent="3"/>
    </xf>
    <xf numFmtId="0" fontId="8" fillId="0" borderId="15" xfId="3" applyFont="1" applyFill="1" applyBorder="1" applyAlignment="1">
      <alignment vertical="center"/>
    </xf>
    <xf numFmtId="0" fontId="29" fillId="0" borderId="15" xfId="0" applyFont="1" applyFill="1" applyBorder="1" applyAlignment="1">
      <alignment vertical="center"/>
    </xf>
    <xf numFmtId="3" fontId="8" fillId="0" borderId="82" xfId="5" applyNumberFormat="1" applyFont="1" applyFill="1" applyBorder="1" applyAlignment="1">
      <alignment horizontal="right" vertical="center" indent="3"/>
    </xf>
    <xf numFmtId="0" fontId="8" fillId="0" borderId="85" xfId="3" applyFont="1" applyFill="1" applyBorder="1" applyAlignment="1">
      <alignment horizontal="center" vertical="center"/>
    </xf>
    <xf numFmtId="0" fontId="8" fillId="0" borderId="83" xfId="3" applyFont="1" applyFill="1" applyBorder="1" applyAlignment="1">
      <alignment horizontal="left" vertical="center" indent="3"/>
    </xf>
    <xf numFmtId="0" fontId="22" fillId="0" borderId="84" xfId="3" applyFont="1" applyBorder="1" applyAlignment="1">
      <alignment horizontal="center" vertical="center"/>
    </xf>
    <xf numFmtId="1" fontId="0" fillId="0" borderId="39" xfId="0" applyNumberFormat="1" applyFont="1" applyFill="1" applyBorder="1" applyAlignment="1">
      <alignment horizontal="right" vertical="center" indent="3"/>
    </xf>
    <xf numFmtId="9" fontId="20" fillId="0" borderId="15" xfId="6" applyFont="1" applyFill="1" applyBorder="1" applyAlignment="1">
      <alignment horizontal="right" vertical="center" indent="3"/>
    </xf>
    <xf numFmtId="9" fontId="8" fillId="0" borderId="15" xfId="6" applyFont="1" applyFill="1" applyBorder="1" applyAlignment="1">
      <alignment vertical="center"/>
    </xf>
    <xf numFmtId="0" fontId="29" fillId="0" borderId="15" xfId="0" applyFont="1" applyBorder="1" applyAlignment="1">
      <alignment vertical="center"/>
    </xf>
    <xf numFmtId="1" fontId="0" fillId="0" borderId="82" xfId="0" applyNumberFormat="1" applyFont="1" applyFill="1" applyBorder="1" applyAlignment="1">
      <alignment horizontal="right" vertical="center" indent="3"/>
    </xf>
    <xf numFmtId="0" fontId="8" fillId="0" borderId="85" xfId="4" applyFont="1" applyFill="1" applyBorder="1" applyAlignment="1" applyProtection="1">
      <alignment horizontal="center" vertical="center"/>
    </xf>
    <xf numFmtId="0" fontId="0" fillId="0" borderId="83" xfId="0" applyFont="1" applyFill="1" applyBorder="1" applyAlignment="1">
      <alignment horizontal="left" vertical="center" indent="3"/>
    </xf>
    <xf numFmtId="0" fontId="22" fillId="0" borderId="84" xfId="4" applyFont="1" applyFill="1" applyBorder="1" applyAlignment="1" applyProtection="1">
      <alignment horizontal="center" vertical="center"/>
    </xf>
    <xf numFmtId="0" fontId="8" fillId="0" borderId="15" xfId="0" applyFont="1" applyBorder="1" applyAlignment="1">
      <alignment vertical="center"/>
    </xf>
    <xf numFmtId="0" fontId="8" fillId="0" borderId="83" xfId="4" applyFont="1" applyFill="1" applyBorder="1" applyAlignment="1" applyProtection="1">
      <alignment horizontal="left" vertical="center" indent="3"/>
    </xf>
    <xf numFmtId="0" fontId="0" fillId="9" borderId="56" xfId="0" applyFont="1" applyFill="1" applyBorder="1" applyAlignment="1">
      <alignment horizontal="center" vertical="center"/>
    </xf>
    <xf numFmtId="0" fontId="31" fillId="0" borderId="84" xfId="4" applyFont="1" applyFill="1" applyBorder="1" applyAlignment="1" applyProtection="1">
      <alignment horizontal="center" vertical="center"/>
    </xf>
    <xf numFmtId="164" fontId="8" fillId="0" borderId="39" xfId="1" applyNumberFormat="1" applyFont="1" applyFill="1" applyBorder="1" applyAlignment="1">
      <alignment horizontal="center" vertical="center"/>
    </xf>
    <xf numFmtId="3" fontId="20" fillId="0" borderId="15" xfId="5" applyNumberFormat="1" applyFont="1" applyFill="1" applyBorder="1" applyAlignment="1">
      <alignment horizontal="center" vertical="center"/>
    </xf>
    <xf numFmtId="164" fontId="8" fillId="0" borderId="82" xfId="1" applyNumberFormat="1" applyFont="1" applyFill="1" applyBorder="1" applyAlignment="1">
      <alignment horizontal="center" vertical="center"/>
    </xf>
    <xf numFmtId="0" fontId="0" fillId="0" borderId="83" xfId="0" applyFont="1" applyBorder="1" applyAlignment="1">
      <alignment horizontal="left" vertical="center" indent="3"/>
    </xf>
    <xf numFmtId="3" fontId="20" fillId="0" borderId="10" xfId="5" applyNumberFormat="1" applyFont="1" applyFill="1" applyBorder="1" applyAlignment="1">
      <alignment horizontal="right" vertical="center" indent="3"/>
    </xf>
    <xf numFmtId="0" fontId="20" fillId="0" borderId="87" xfId="3" applyFont="1" applyFill="1" applyBorder="1" applyAlignment="1">
      <alignment vertical="center"/>
    </xf>
    <xf numFmtId="0" fontId="31" fillId="0" borderId="88" xfId="4" applyFont="1" applyFill="1" applyBorder="1" applyAlignment="1" applyProtection="1">
      <alignment horizontal="center" vertical="center"/>
    </xf>
    <xf numFmtId="3" fontId="8" fillId="0" borderId="44" xfId="5" applyNumberFormat="1" applyFont="1" applyFill="1" applyBorder="1" applyAlignment="1">
      <alignment horizontal="right" vertical="center" indent="3"/>
    </xf>
    <xf numFmtId="3" fontId="8" fillId="0" borderId="87" xfId="5" applyNumberFormat="1" applyFont="1" applyFill="1" applyBorder="1" applyAlignment="1">
      <alignment horizontal="right" vertical="center" indent="3"/>
    </xf>
    <xf numFmtId="3" fontId="8" fillId="0" borderId="9" xfId="5" applyNumberFormat="1" applyFont="1" applyFill="1" applyBorder="1" applyAlignment="1">
      <alignment horizontal="right" vertical="center" indent="3"/>
    </xf>
    <xf numFmtId="9" fontId="20" fillId="0" borderId="42" xfId="6" applyFont="1" applyFill="1" applyBorder="1" applyAlignment="1">
      <alignment horizontal="right" vertical="center" indent="3"/>
    </xf>
    <xf numFmtId="9" fontId="8" fillId="0" borderId="42" xfId="6" applyFont="1" applyFill="1" applyBorder="1" applyAlignment="1">
      <alignment vertical="center"/>
    </xf>
    <xf numFmtId="0" fontId="29" fillId="0" borderId="42" xfId="0" applyFont="1" applyBorder="1" applyAlignment="1">
      <alignment vertical="center"/>
    </xf>
    <xf numFmtId="3" fontId="8" fillId="0" borderId="86" xfId="5" applyNumberFormat="1" applyFont="1" applyFill="1" applyBorder="1" applyAlignment="1">
      <alignment horizontal="right" vertical="center" indent="3"/>
    </xf>
    <xf numFmtId="0" fontId="0" fillId="0" borderId="2"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14" fillId="6" borderId="31" xfId="0" applyFont="1" applyFill="1" applyBorder="1" applyAlignment="1" applyProtection="1">
      <alignment horizontal="center" vertical="center" wrapText="1"/>
    </xf>
    <xf numFmtId="0" fontId="14" fillId="0" borderId="14" xfId="0" applyFont="1" applyBorder="1" applyAlignment="1" applyProtection="1">
      <alignment horizontal="center" vertical="center"/>
    </xf>
    <xf numFmtId="0" fontId="15" fillId="8" borderId="21" xfId="0" applyFont="1" applyFill="1" applyBorder="1" applyAlignment="1" applyProtection="1">
      <alignment vertical="center"/>
    </xf>
    <xf numFmtId="0" fontId="11" fillId="8" borderId="15" xfId="0" applyFont="1" applyFill="1" applyBorder="1" applyAlignment="1" applyProtection="1">
      <alignment vertical="center"/>
    </xf>
    <xf numFmtId="0" fontId="11" fillId="8" borderId="15" xfId="0" applyFont="1" applyFill="1" applyBorder="1" applyAlignment="1" applyProtection="1">
      <alignment horizontal="left" vertical="center" indent="1"/>
    </xf>
    <xf numFmtId="0" fontId="11" fillId="8" borderId="32" xfId="0" applyFont="1" applyFill="1" applyBorder="1" applyAlignment="1" applyProtection="1">
      <alignment vertical="center"/>
    </xf>
    <xf numFmtId="0" fontId="11" fillId="8" borderId="39" xfId="0" applyFont="1" applyFill="1" applyBorder="1" applyAlignment="1" applyProtection="1">
      <alignment horizontal="center" vertical="center"/>
    </xf>
    <xf numFmtId="0" fontId="11" fillId="8" borderId="10" xfId="0" applyFont="1" applyFill="1" applyBorder="1" applyAlignment="1" applyProtection="1">
      <alignment vertical="center" wrapText="1"/>
    </xf>
    <xf numFmtId="0" fontId="0" fillId="0" borderId="19" xfId="0" applyFont="1" applyBorder="1" applyAlignment="1" applyProtection="1">
      <alignment vertical="center"/>
    </xf>
    <xf numFmtId="0" fontId="0" fillId="3" borderId="13" xfId="0" applyFont="1" applyFill="1" applyBorder="1" applyAlignment="1" applyProtection="1">
      <alignment vertical="center"/>
    </xf>
    <xf numFmtId="0" fontId="0" fillId="0" borderId="13" xfId="0" applyFont="1" applyFill="1" applyBorder="1" applyAlignment="1" applyProtection="1">
      <alignment horizontal="left" vertical="center" indent="1"/>
    </xf>
    <xf numFmtId="0" fontId="0" fillId="0" borderId="33" xfId="0" applyFont="1" applyBorder="1" applyAlignment="1" applyProtection="1">
      <alignment vertical="center"/>
    </xf>
    <xf numFmtId="0" fontId="0" fillId="0" borderId="13" xfId="0" applyFont="1" applyBorder="1" applyAlignment="1" applyProtection="1">
      <alignment horizontal="left" vertical="center" indent="1"/>
    </xf>
    <xf numFmtId="0" fontId="0" fillId="0" borderId="37" xfId="0" applyFont="1" applyBorder="1" applyAlignment="1" applyProtection="1">
      <alignment horizontal="center" vertical="center"/>
    </xf>
    <xf numFmtId="0" fontId="0" fillId="0" borderId="7" xfId="0" applyFont="1" applyBorder="1" applyAlignment="1" applyProtection="1">
      <alignment vertical="center" wrapText="1"/>
    </xf>
    <xf numFmtId="0" fontId="0" fillId="0" borderId="13" xfId="0" applyFont="1" applyFill="1" applyBorder="1" applyAlignment="1" applyProtection="1">
      <alignment horizontal="left" vertical="center" wrapText="1" indent="1"/>
    </xf>
    <xf numFmtId="0" fontId="8" fillId="0" borderId="7" xfId="3" applyFont="1" applyBorder="1" applyAlignment="1" applyProtection="1">
      <alignment vertical="center" wrapText="1"/>
    </xf>
    <xf numFmtId="0" fontId="0" fillId="0" borderId="13" xfId="0" applyFont="1" applyFill="1" applyBorder="1" applyAlignment="1" applyProtection="1">
      <alignment vertical="center"/>
    </xf>
    <xf numFmtId="0" fontId="0" fillId="0" borderId="33" xfId="0" applyFont="1" applyFill="1" applyBorder="1" applyAlignment="1" applyProtection="1">
      <alignment vertical="center"/>
    </xf>
    <xf numFmtId="0" fontId="15" fillId="8" borderId="19" xfId="0" applyFont="1" applyFill="1" applyBorder="1" applyAlignment="1" applyProtection="1">
      <alignment vertical="center"/>
    </xf>
    <xf numFmtId="0" fontId="11" fillId="8" borderId="13" xfId="0" applyFont="1" applyFill="1" applyBorder="1" applyAlignment="1" applyProtection="1">
      <alignment vertical="center"/>
    </xf>
    <xf numFmtId="0" fontId="11" fillId="8" borderId="13" xfId="0" applyFont="1" applyFill="1" applyBorder="1" applyAlignment="1" applyProtection="1">
      <alignment horizontal="left" vertical="center" indent="1"/>
    </xf>
    <xf numFmtId="0" fontId="11" fillId="8" borderId="33" xfId="0" applyFont="1" applyFill="1" applyBorder="1" applyAlignment="1" applyProtection="1">
      <alignment vertical="center"/>
    </xf>
    <xf numFmtId="0" fontId="11" fillId="8" borderId="37" xfId="0" applyFont="1" applyFill="1" applyBorder="1" applyAlignment="1" applyProtection="1">
      <alignment horizontal="center" vertical="center"/>
    </xf>
    <xf numFmtId="0" fontId="11" fillId="8" borderId="7" xfId="0" applyFont="1" applyFill="1" applyBorder="1" applyAlignment="1" applyProtection="1">
      <alignment vertical="center" wrapText="1"/>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0" fontId="8" fillId="0" borderId="7" xfId="0" applyFont="1" applyFill="1" applyBorder="1" applyAlignment="1" applyProtection="1">
      <alignment vertical="center" wrapText="1"/>
    </xf>
    <xf numFmtId="0" fontId="0" fillId="0" borderId="2" xfId="0" applyFont="1" applyFill="1" applyBorder="1" applyAlignment="1" applyProtection="1">
      <alignment vertical="center"/>
    </xf>
    <xf numFmtId="0" fontId="0" fillId="0" borderId="0" xfId="0" applyFill="1" applyBorder="1" applyAlignment="1" applyProtection="1">
      <alignment vertical="center"/>
    </xf>
    <xf numFmtId="0" fontId="0" fillId="0" borderId="19" xfId="0" applyFont="1" applyFill="1" applyBorder="1" applyAlignment="1" applyProtection="1">
      <alignment vertical="center"/>
    </xf>
    <xf numFmtId="0" fontId="0" fillId="0" borderId="7" xfId="0" applyFont="1" applyFill="1" applyBorder="1" applyAlignment="1" applyProtection="1">
      <alignment vertical="center" wrapText="1"/>
    </xf>
    <xf numFmtId="0" fontId="0" fillId="0" borderId="19" xfId="0" applyFont="1" applyFill="1" applyBorder="1" applyAlignment="1" applyProtection="1">
      <alignment vertical="center" wrapText="1"/>
    </xf>
    <xf numFmtId="0" fontId="0" fillId="0" borderId="37" xfId="0" applyFont="1" applyFill="1" applyBorder="1" applyAlignment="1" applyProtection="1">
      <alignment horizontal="center" vertical="center"/>
    </xf>
    <xf numFmtId="0" fontId="0" fillId="7" borderId="19" xfId="0" applyFont="1" applyFill="1" applyBorder="1" applyAlignment="1" applyProtection="1">
      <alignment vertical="center"/>
    </xf>
    <xf numFmtId="2" fontId="0" fillId="0" borderId="4" xfId="0" applyNumberFormat="1" applyFont="1" applyFill="1" applyBorder="1" applyAlignment="1" applyProtection="1">
      <alignment horizontal="left" vertical="center" wrapText="1"/>
    </xf>
    <xf numFmtId="0" fontId="0" fillId="0" borderId="0" xfId="0" applyFill="1" applyAlignment="1" applyProtection="1">
      <alignment vertical="center"/>
    </xf>
    <xf numFmtId="0" fontId="0" fillId="0" borderId="19" xfId="0" applyFont="1" applyBorder="1" applyAlignment="1" applyProtection="1">
      <alignment vertical="center" wrapText="1"/>
    </xf>
    <xf numFmtId="0" fontId="0" fillId="0" borderId="19" xfId="0" applyFill="1" applyBorder="1" applyAlignment="1" applyProtection="1">
      <alignment vertical="center"/>
    </xf>
    <xf numFmtId="0" fontId="0" fillId="14" borderId="0" xfId="0" applyFont="1" applyFill="1" applyAlignment="1" applyProtection="1">
      <alignment vertical="center"/>
    </xf>
    <xf numFmtId="0" fontId="0" fillId="14" borderId="0" xfId="0" applyFont="1" applyFill="1" applyBorder="1" applyAlignment="1" applyProtection="1">
      <alignment horizontal="center" vertical="center"/>
    </xf>
    <xf numFmtId="0" fontId="0" fillId="0" borderId="22" xfId="0" applyFont="1" applyBorder="1" applyAlignment="1" applyProtection="1">
      <alignment vertical="center"/>
    </xf>
    <xf numFmtId="0" fontId="0" fillId="6" borderId="13" xfId="0" applyFont="1" applyFill="1" applyBorder="1" applyAlignment="1" applyProtection="1">
      <alignment vertical="center"/>
    </xf>
    <xf numFmtId="0" fontId="0" fillId="0" borderId="16" xfId="0" applyFont="1" applyFill="1" applyBorder="1" applyAlignment="1" applyProtection="1">
      <alignment horizontal="left" vertical="center" indent="1"/>
    </xf>
    <xf numFmtId="0" fontId="0" fillId="0" borderId="40" xfId="0" applyFont="1" applyBorder="1" applyAlignment="1" applyProtection="1">
      <alignment horizontal="center" vertical="center"/>
    </xf>
    <xf numFmtId="168" fontId="0" fillId="3" borderId="16" xfId="6" applyNumberFormat="1" applyFont="1" applyFill="1" applyBorder="1" applyAlignment="1" applyProtection="1">
      <alignment vertical="center"/>
    </xf>
    <xf numFmtId="168" fontId="0" fillId="6" borderId="16" xfId="6" applyNumberFormat="1" applyFont="1" applyFill="1" applyBorder="1" applyAlignment="1" applyProtection="1">
      <alignment vertical="center"/>
    </xf>
    <xf numFmtId="9" fontId="0" fillId="3" borderId="16" xfId="6" applyFont="1" applyFill="1" applyBorder="1" applyAlignment="1" applyProtection="1">
      <alignment vertical="center"/>
    </xf>
    <xf numFmtId="9" fontId="0" fillId="6" borderId="16" xfId="6" applyFont="1" applyFill="1" applyBorder="1" applyAlignment="1" applyProtection="1">
      <alignment vertical="center"/>
    </xf>
    <xf numFmtId="0" fontId="0" fillId="0" borderId="21" xfId="0" applyFont="1" applyFill="1" applyBorder="1" applyAlignment="1" applyProtection="1">
      <alignment vertical="center"/>
    </xf>
    <xf numFmtId="0" fontId="0" fillId="0" borderId="15" xfId="0" applyFont="1" applyBorder="1" applyAlignment="1" applyProtection="1">
      <alignment horizontal="left" vertical="center" indent="1"/>
    </xf>
    <xf numFmtId="0" fontId="0" fillId="0" borderId="39" xfId="0" applyFont="1" applyBorder="1" applyAlignment="1" applyProtection="1">
      <alignment horizontal="center" vertical="center"/>
    </xf>
    <xf numFmtId="0" fontId="0" fillId="0" borderId="10" xfId="0" applyFont="1" applyBorder="1" applyAlignment="1" applyProtection="1">
      <alignment vertical="center" wrapText="1"/>
    </xf>
    <xf numFmtId="1" fontId="0" fillId="0" borderId="0" xfId="0" applyNumberFormat="1" applyFont="1" applyBorder="1" applyAlignment="1" applyProtection="1">
      <alignment vertical="center"/>
    </xf>
    <xf numFmtId="0" fontId="0" fillId="0" borderId="0" xfId="0" applyNumberFormat="1" applyFont="1" applyBorder="1" applyAlignment="1" applyProtection="1">
      <alignment vertical="center"/>
    </xf>
    <xf numFmtId="0" fontId="0" fillId="0" borderId="7" xfId="0" applyFill="1" applyBorder="1" applyAlignment="1" applyProtection="1">
      <alignment vertical="center" wrapText="1"/>
    </xf>
    <xf numFmtId="0" fontId="14" fillId="0" borderId="19" xfId="0" applyFont="1" applyBorder="1" applyAlignment="1" applyProtection="1">
      <alignment horizontal="left" vertical="center" indent="2"/>
    </xf>
    <xf numFmtId="0" fontId="0" fillId="0" borderId="44" xfId="0" applyFont="1" applyBorder="1" applyAlignment="1" applyProtection="1">
      <alignment horizontal="center" vertical="center"/>
    </xf>
    <xf numFmtId="0" fontId="0" fillId="0" borderId="9" xfId="0" applyFont="1" applyFill="1" applyBorder="1" applyAlignment="1" applyProtection="1">
      <alignment vertical="center" wrapText="1"/>
    </xf>
    <xf numFmtId="0" fontId="14" fillId="11" borderId="45" xfId="0" applyFont="1" applyFill="1" applyBorder="1" applyAlignment="1" applyProtection="1">
      <alignment vertical="center"/>
    </xf>
    <xf numFmtId="166" fontId="0" fillId="11" borderId="46" xfId="1" applyNumberFormat="1" applyFont="1" applyFill="1" applyBorder="1" applyAlignment="1" applyProtection="1">
      <alignment vertical="center"/>
    </xf>
    <xf numFmtId="0" fontId="0" fillId="11" borderId="46" xfId="0" applyFont="1" applyFill="1" applyBorder="1" applyAlignment="1" applyProtection="1">
      <alignment horizontal="left" vertical="center" indent="1"/>
    </xf>
    <xf numFmtId="166" fontId="0" fillId="11" borderId="47" xfId="1" applyNumberFormat="1" applyFont="1" applyFill="1" applyBorder="1" applyAlignment="1" applyProtection="1">
      <alignment vertical="center"/>
    </xf>
    <xf numFmtId="0" fontId="0" fillId="11" borderId="48" xfId="0" applyFont="1" applyFill="1" applyBorder="1" applyAlignment="1" applyProtection="1">
      <alignment horizontal="center" vertical="center"/>
    </xf>
    <xf numFmtId="0" fontId="0" fillId="0" borderId="49" xfId="0" applyFont="1" applyFill="1" applyBorder="1" applyAlignment="1" applyProtection="1">
      <alignment vertical="center" wrapText="1"/>
    </xf>
    <xf numFmtId="0" fontId="0" fillId="11" borderId="19" xfId="0" applyFont="1" applyFill="1" applyBorder="1" applyAlignment="1" applyProtection="1">
      <alignment horizontal="left" vertical="center" indent="3"/>
    </xf>
    <xf numFmtId="0" fontId="0" fillId="11" borderId="13" xfId="0" applyFont="1" applyFill="1" applyBorder="1" applyAlignment="1" applyProtection="1">
      <alignment vertical="center"/>
    </xf>
    <xf numFmtId="0" fontId="0" fillId="11" borderId="41" xfId="0" applyFont="1" applyFill="1" applyBorder="1" applyAlignment="1" applyProtection="1">
      <alignment horizontal="left" vertical="center" indent="3"/>
    </xf>
    <xf numFmtId="0" fontId="0" fillId="5" borderId="37" xfId="0" applyFont="1" applyFill="1" applyBorder="1" applyAlignment="1" applyProtection="1">
      <alignment horizontal="center" vertical="center"/>
    </xf>
    <xf numFmtId="0" fontId="0" fillId="0" borderId="24" xfId="0" applyFont="1" applyBorder="1" applyAlignment="1" applyProtection="1">
      <alignment vertical="center"/>
    </xf>
    <xf numFmtId="0" fontId="0" fillId="0" borderId="17" xfId="0" applyFont="1" applyBorder="1" applyAlignment="1" applyProtection="1">
      <alignment horizontal="left" vertical="center" indent="1"/>
    </xf>
    <xf numFmtId="0" fontId="0" fillId="0" borderId="36" xfId="0" applyFont="1" applyBorder="1" applyAlignment="1" applyProtection="1">
      <alignment horizontal="center" vertical="center"/>
    </xf>
    <xf numFmtId="0" fontId="7" fillId="9" borderId="19" xfId="0" applyFont="1" applyFill="1" applyBorder="1" applyAlignment="1" applyProtection="1">
      <alignment vertical="center"/>
    </xf>
    <xf numFmtId="0" fontId="0" fillId="9" borderId="13" xfId="0" applyFont="1" applyFill="1" applyBorder="1" applyAlignment="1" applyProtection="1">
      <alignment vertical="center"/>
    </xf>
    <xf numFmtId="0" fontId="0" fillId="9" borderId="13" xfId="0" applyFont="1" applyFill="1" applyBorder="1" applyAlignment="1" applyProtection="1">
      <alignment horizontal="left" vertical="center" indent="1"/>
    </xf>
    <xf numFmtId="0" fontId="0" fillId="9" borderId="33" xfId="0" applyFont="1" applyFill="1" applyBorder="1" applyAlignment="1" applyProtection="1">
      <alignment vertical="center"/>
    </xf>
    <xf numFmtId="0" fontId="0" fillId="9" borderId="37" xfId="0" applyFont="1" applyFill="1" applyBorder="1" applyAlignment="1" applyProtection="1">
      <alignment horizontal="center" vertical="center"/>
    </xf>
    <xf numFmtId="0" fontId="0" fillId="9" borderId="7" xfId="0" applyFont="1" applyFill="1" applyBorder="1" applyAlignment="1" applyProtection="1">
      <alignment vertical="center" wrapText="1"/>
    </xf>
    <xf numFmtId="0" fontId="8" fillId="0" borderId="19" xfId="0" applyFont="1" applyBorder="1" applyAlignment="1" applyProtection="1">
      <alignment horizontal="left" vertical="center"/>
    </xf>
    <xf numFmtId="0" fontId="22" fillId="11" borderId="19" xfId="0" applyFont="1" applyFill="1" applyBorder="1" applyAlignment="1" applyProtection="1">
      <alignment horizontal="left" vertical="center"/>
    </xf>
    <xf numFmtId="0" fontId="0" fillId="11" borderId="13" xfId="0" applyFont="1" applyFill="1" applyBorder="1" applyAlignment="1" applyProtection="1">
      <alignment horizontal="left" vertical="center" indent="1"/>
    </xf>
    <xf numFmtId="0" fontId="0" fillId="11" borderId="33" xfId="0" applyFont="1" applyFill="1" applyBorder="1" applyAlignment="1" applyProtection="1">
      <alignment vertical="center"/>
    </xf>
    <xf numFmtId="0" fontId="0" fillId="11" borderId="37" xfId="0" applyFont="1" applyFill="1" applyBorder="1" applyAlignment="1" applyProtection="1">
      <alignment horizontal="center" vertical="center"/>
    </xf>
    <xf numFmtId="0" fontId="0" fillId="0" borderId="19" xfId="0" applyFont="1" applyBorder="1" applyAlignment="1" applyProtection="1">
      <alignment horizontal="left" vertical="center" indent="2"/>
    </xf>
    <xf numFmtId="0" fontId="0" fillId="5" borderId="19" xfId="0" applyFont="1" applyFill="1" applyBorder="1" applyAlignment="1" applyProtection="1">
      <alignment horizontal="left" vertical="center" indent="2"/>
    </xf>
    <xf numFmtId="2" fontId="0" fillId="14" borderId="33" xfId="0" applyNumberFormat="1" applyFont="1" applyFill="1" applyBorder="1" applyAlignment="1" applyProtection="1">
      <alignment vertical="center"/>
    </xf>
    <xf numFmtId="0" fontId="0" fillId="0" borderId="19" xfId="0" applyFont="1" applyFill="1" applyBorder="1" applyAlignment="1" applyProtection="1">
      <alignment horizontal="left" vertical="center" indent="3"/>
    </xf>
    <xf numFmtId="0" fontId="0" fillId="5" borderId="19" xfId="0" applyFont="1" applyFill="1" applyBorder="1" applyAlignment="1" applyProtection="1">
      <alignment horizontal="left" vertical="center" indent="3"/>
    </xf>
    <xf numFmtId="0" fontId="0" fillId="0" borderId="19" xfId="0" applyFont="1" applyBorder="1" applyAlignment="1" applyProtection="1">
      <alignment horizontal="left" vertical="center" indent="3"/>
    </xf>
    <xf numFmtId="0" fontId="0" fillId="5" borderId="19" xfId="0" applyFont="1" applyFill="1" applyBorder="1" applyAlignment="1" applyProtection="1">
      <alignment vertical="center"/>
    </xf>
    <xf numFmtId="0" fontId="0" fillId="5" borderId="13" xfId="0" applyFont="1" applyFill="1" applyBorder="1" applyAlignment="1" applyProtection="1">
      <alignment vertical="center"/>
    </xf>
    <xf numFmtId="0" fontId="0" fillId="9" borderId="19" xfId="0" applyFont="1" applyFill="1" applyBorder="1" applyAlignment="1" applyProtection="1">
      <alignment vertical="center"/>
    </xf>
    <xf numFmtId="0" fontId="0" fillId="7" borderId="19" xfId="0" applyFont="1" applyFill="1" applyBorder="1" applyAlignment="1" applyProtection="1">
      <alignment horizontal="left" vertical="center" indent="2"/>
    </xf>
    <xf numFmtId="2" fontId="0" fillId="7" borderId="13" xfId="0" applyNumberFormat="1" applyFont="1" applyFill="1" applyBorder="1" applyAlignment="1" applyProtection="1">
      <alignment vertical="center"/>
    </xf>
    <xf numFmtId="0" fontId="0" fillId="7" borderId="13" xfId="0" applyFont="1" applyFill="1" applyBorder="1" applyAlignment="1" applyProtection="1">
      <alignment horizontal="left" vertical="center" indent="1"/>
    </xf>
    <xf numFmtId="2" fontId="0" fillId="7" borderId="33" xfId="0" applyNumberFormat="1" applyFont="1" applyFill="1" applyBorder="1" applyAlignment="1" applyProtection="1">
      <alignment vertical="center"/>
    </xf>
    <xf numFmtId="0" fontId="0" fillId="7" borderId="37"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0" xfId="0" applyFont="1" applyAlignment="1" applyProtection="1">
      <alignment vertical="center" wrapText="1"/>
    </xf>
    <xf numFmtId="9" fontId="0" fillId="0" borderId="0" xfId="6" applyFont="1" applyAlignment="1" applyProtection="1">
      <alignment vertical="center"/>
    </xf>
    <xf numFmtId="0" fontId="0" fillId="0" borderId="0" xfId="0" applyFont="1" applyAlignment="1" applyProtection="1">
      <alignment horizontal="left" vertical="center" indent="1"/>
    </xf>
    <xf numFmtId="0" fontId="0" fillId="0" borderId="0" xfId="0" applyFont="1" applyAlignment="1" applyProtection="1">
      <alignment horizontal="center" vertical="center"/>
    </xf>
    <xf numFmtId="9" fontId="0" fillId="0" borderId="0" xfId="0" applyNumberFormat="1" applyFont="1" applyAlignment="1" applyProtection="1">
      <alignment vertical="center"/>
    </xf>
    <xf numFmtId="44" fontId="0" fillId="0" borderId="0" xfId="1" applyFont="1" applyFill="1" applyBorder="1" applyAlignment="1" applyProtection="1">
      <alignment vertical="center"/>
    </xf>
    <xf numFmtId="44" fontId="0" fillId="0" borderId="0" xfId="1"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44" fontId="0" fillId="0" borderId="0" xfId="0" applyNumberFormat="1" applyFont="1" applyFill="1" applyBorder="1" applyAlignment="1" applyProtection="1">
      <alignment vertical="center"/>
    </xf>
    <xf numFmtId="0" fontId="0" fillId="0" borderId="33" xfId="0" applyFill="1" applyBorder="1" applyAlignment="1" applyProtection="1">
      <alignment vertical="center"/>
    </xf>
    <xf numFmtId="0" fontId="0" fillId="0" borderId="35" xfId="0" applyFont="1" applyBorder="1" applyAlignment="1" applyProtection="1">
      <alignment vertical="center"/>
    </xf>
    <xf numFmtId="0" fontId="0" fillId="5" borderId="33" xfId="0" applyFont="1" applyFill="1" applyBorder="1" applyAlignment="1" applyProtection="1">
      <alignment vertical="center"/>
    </xf>
    <xf numFmtId="0" fontId="0" fillId="5" borderId="13" xfId="0" applyFont="1" applyFill="1" applyBorder="1" applyAlignment="1" applyProtection="1">
      <alignment horizontal="left" vertical="center" indent="1"/>
    </xf>
    <xf numFmtId="0" fontId="0" fillId="5" borderId="13" xfId="0" applyFont="1" applyFill="1" applyBorder="1" applyAlignment="1" applyProtection="1">
      <alignment horizontal="left" vertical="center" wrapText="1" indent="1"/>
    </xf>
    <xf numFmtId="2" fontId="0" fillId="5" borderId="33" xfId="0" applyNumberFormat="1" applyFont="1" applyFill="1" applyBorder="1" applyAlignment="1" applyProtection="1">
      <alignment vertical="center"/>
    </xf>
    <xf numFmtId="2" fontId="0" fillId="5" borderId="33" xfId="1" applyNumberFormat="1" applyFont="1" applyFill="1" applyBorder="1" applyAlignment="1" applyProtection="1">
      <alignment vertical="center"/>
    </xf>
    <xf numFmtId="2" fontId="0" fillId="5" borderId="13" xfId="0" applyNumberFormat="1" applyFont="1" applyFill="1" applyBorder="1" applyAlignment="1" applyProtection="1">
      <alignment vertical="center"/>
    </xf>
    <xf numFmtId="2" fontId="0" fillId="5" borderId="13" xfId="1" applyNumberFormat="1" applyFont="1" applyFill="1" applyBorder="1" applyAlignment="1" applyProtection="1">
      <alignment vertical="center"/>
    </xf>
    <xf numFmtId="167" fontId="0" fillId="5" borderId="13" xfId="0" applyNumberFormat="1" applyFont="1" applyFill="1" applyBorder="1" applyAlignment="1" applyProtection="1">
      <alignment vertical="center"/>
    </xf>
    <xf numFmtId="44" fontId="0" fillId="5" borderId="13" xfId="1" applyFont="1" applyFill="1" applyBorder="1" applyAlignment="1" applyProtection="1">
      <alignment vertical="center"/>
    </xf>
    <xf numFmtId="167" fontId="0" fillId="5" borderId="33" xfId="0" applyNumberFormat="1" applyFont="1" applyFill="1" applyBorder="1" applyAlignment="1" applyProtection="1">
      <alignment vertical="center"/>
    </xf>
    <xf numFmtId="8" fontId="0" fillId="5" borderId="33" xfId="0" applyNumberFormat="1" applyFont="1" applyFill="1" applyBorder="1" applyAlignment="1" applyProtection="1">
      <alignment vertical="center"/>
    </xf>
    <xf numFmtId="0" fontId="0" fillId="5" borderId="51" xfId="0" applyFont="1" applyFill="1" applyBorder="1" applyAlignment="1" applyProtection="1">
      <alignment horizontal="left" vertical="center" indent="1"/>
    </xf>
    <xf numFmtId="1" fontId="0" fillId="5" borderId="13" xfId="0" applyNumberFormat="1" applyFont="1" applyFill="1" applyBorder="1" applyAlignment="1" applyProtection="1">
      <alignment vertical="center"/>
    </xf>
    <xf numFmtId="0" fontId="0" fillId="5" borderId="33" xfId="0" applyNumberFormat="1" applyFont="1" applyFill="1" applyBorder="1" applyAlignment="1" applyProtection="1">
      <alignment vertical="center"/>
    </xf>
    <xf numFmtId="1" fontId="0" fillId="5" borderId="33" xfId="0" applyNumberFormat="1" applyFont="1" applyFill="1" applyBorder="1" applyAlignment="1" applyProtection="1">
      <alignment vertical="center"/>
    </xf>
    <xf numFmtId="0" fontId="0" fillId="5" borderId="15" xfId="0" applyFont="1" applyFill="1" applyBorder="1" applyAlignment="1" applyProtection="1">
      <alignment horizontal="left" vertical="center" indent="1"/>
    </xf>
    <xf numFmtId="0" fontId="0" fillId="5" borderId="34" xfId="0" applyFont="1" applyFill="1" applyBorder="1" applyAlignment="1" applyProtection="1">
      <alignment vertical="center"/>
    </xf>
    <xf numFmtId="0" fontId="0" fillId="5" borderId="16" xfId="0" applyFont="1" applyFill="1" applyBorder="1" applyAlignment="1" applyProtection="1">
      <alignment horizontal="left" vertical="center" indent="1"/>
    </xf>
    <xf numFmtId="166" fontId="0" fillId="5" borderId="42" xfId="1" applyNumberFormat="1" applyFont="1" applyFill="1" applyBorder="1" applyAlignment="1" applyProtection="1">
      <alignment vertical="center"/>
    </xf>
    <xf numFmtId="0" fontId="0" fillId="5" borderId="42" xfId="0" applyFont="1" applyFill="1" applyBorder="1" applyAlignment="1" applyProtection="1">
      <alignment horizontal="left" vertical="center" indent="1"/>
    </xf>
    <xf numFmtId="166" fontId="0" fillId="5" borderId="43" xfId="1" applyNumberFormat="1" applyFont="1" applyFill="1" applyBorder="1" applyAlignment="1" applyProtection="1">
      <alignment vertical="center"/>
    </xf>
    <xf numFmtId="1" fontId="0" fillId="5" borderId="33" xfId="1" applyNumberFormat="1" applyFont="1" applyFill="1" applyBorder="1" applyAlignment="1" applyProtection="1">
      <alignment vertical="center"/>
    </xf>
    <xf numFmtId="166" fontId="0" fillId="5" borderId="33" xfId="0" applyNumberFormat="1" applyFont="1" applyFill="1" applyBorder="1" applyAlignment="1" applyProtection="1">
      <alignment vertical="center"/>
    </xf>
    <xf numFmtId="0" fontId="0" fillId="5" borderId="32" xfId="0" applyFont="1" applyFill="1" applyBorder="1" applyAlignment="1" applyProtection="1">
      <alignment vertical="center"/>
    </xf>
    <xf numFmtId="0" fontId="0" fillId="5" borderId="35" xfId="0" applyFont="1" applyFill="1" applyBorder="1" applyAlignment="1" applyProtection="1">
      <alignment vertical="center"/>
    </xf>
    <xf numFmtId="0" fontId="0" fillId="5" borderId="17" xfId="0" applyFont="1" applyFill="1" applyBorder="1" applyAlignment="1" applyProtection="1">
      <alignment horizontal="left" vertical="center" indent="1"/>
    </xf>
    <xf numFmtId="2" fontId="0" fillId="5" borderId="90" xfId="1" applyNumberFormat="1" applyFont="1" applyFill="1" applyBorder="1" applyAlignment="1" applyProtection="1">
      <alignment horizontal="right" vertical="center"/>
    </xf>
    <xf numFmtId="2" fontId="0" fillId="5" borderId="13" xfId="1" applyNumberFormat="1" applyFont="1" applyFill="1" applyBorder="1" applyAlignment="1" applyProtection="1">
      <alignment horizontal="right" vertical="center"/>
    </xf>
    <xf numFmtId="2" fontId="0" fillId="5" borderId="91" xfId="1" applyNumberFormat="1" applyFont="1" applyFill="1" applyBorder="1" applyAlignment="1" applyProtection="1">
      <alignment horizontal="right" vertical="center"/>
    </xf>
    <xf numFmtId="0" fontId="0" fillId="5" borderId="92" xfId="0" applyFont="1" applyFill="1" applyBorder="1" applyAlignment="1" applyProtection="1">
      <alignment horizontal="left" vertical="center" indent="1"/>
    </xf>
    <xf numFmtId="2" fontId="0" fillId="5" borderId="17" xfId="1" applyNumberFormat="1" applyFont="1" applyFill="1" applyBorder="1" applyAlignment="1" applyProtection="1">
      <alignment horizontal="right" vertical="center"/>
    </xf>
    <xf numFmtId="0" fontId="0" fillId="0" borderId="0" xfId="0" applyFont="1" applyBorder="1" applyAlignment="1" applyProtection="1">
      <alignment horizontal="left" vertical="center"/>
    </xf>
    <xf numFmtId="0" fontId="0" fillId="16" borderId="0" xfId="0" applyFont="1" applyFill="1" applyBorder="1" applyAlignment="1" applyProtection="1">
      <alignment vertical="center"/>
    </xf>
    <xf numFmtId="0" fontId="0" fillId="16" borderId="0" xfId="0" applyFont="1" applyFill="1" applyAlignment="1" applyProtection="1">
      <alignment vertical="center"/>
    </xf>
    <xf numFmtId="0" fontId="0" fillId="0" borderId="0" xfId="0" applyBorder="1">
      <alignment vertical="center" wrapText="1"/>
    </xf>
    <xf numFmtId="0" fontId="33" fillId="9" borderId="56" xfId="0" applyFont="1" applyFill="1" applyBorder="1" applyAlignment="1">
      <alignment horizontal="center" vertical="center"/>
    </xf>
    <xf numFmtId="0" fontId="8" fillId="0" borderId="0" xfId="0" applyNumberFormat="1" applyFont="1" applyFill="1" applyBorder="1" applyAlignment="1">
      <alignment vertical="center"/>
    </xf>
    <xf numFmtId="0" fontId="0" fillId="0" borderId="85" xfId="0" applyFont="1" applyBorder="1" applyAlignment="1">
      <alignment horizontal="center" vertical="center"/>
    </xf>
    <xf numFmtId="0" fontId="8" fillId="0" borderId="94" xfId="3" applyFont="1" applyFill="1" applyBorder="1" applyAlignment="1">
      <alignment horizontal="center" vertical="center"/>
    </xf>
    <xf numFmtId="0" fontId="29" fillId="8" borderId="56" xfId="3" applyFont="1" applyFill="1" applyBorder="1" applyAlignment="1">
      <alignment horizontal="center" vertical="center"/>
    </xf>
    <xf numFmtId="0" fontId="8" fillId="4" borderId="0" xfId="0" applyFont="1" applyFill="1" applyBorder="1" applyAlignment="1">
      <alignment vertical="center"/>
    </xf>
    <xf numFmtId="0" fontId="29" fillId="4" borderId="0" xfId="0" applyFont="1" applyFill="1" applyBorder="1" applyAlignment="1">
      <alignment vertical="center"/>
    </xf>
    <xf numFmtId="0" fontId="8" fillId="0" borderId="50" xfId="3" applyFont="1" applyFill="1" applyBorder="1" applyAlignment="1">
      <alignment horizontal="center" vertical="center"/>
    </xf>
    <xf numFmtId="0" fontId="8" fillId="17" borderId="0" xfId="0" applyFont="1" applyFill="1" applyBorder="1" applyAlignment="1">
      <alignment vertical="center"/>
    </xf>
    <xf numFmtId="0" fontId="29" fillId="17" borderId="0" xfId="0" applyFont="1" applyFill="1" applyBorder="1" applyAlignment="1">
      <alignment vertical="center"/>
    </xf>
    <xf numFmtId="165" fontId="0" fillId="0" borderId="0" xfId="0" applyNumberFormat="1" applyFont="1" applyFill="1" applyBorder="1" applyAlignment="1">
      <alignment vertical="center"/>
    </xf>
    <xf numFmtId="0" fontId="0" fillId="0" borderId="0" xfId="0" applyFill="1" applyBorder="1">
      <alignment vertical="center" wrapText="1"/>
    </xf>
    <xf numFmtId="0" fontId="41" fillId="8" borderId="52" xfId="3" applyFont="1" applyFill="1" applyBorder="1" applyAlignment="1">
      <alignment horizontal="center" vertical="center"/>
    </xf>
    <xf numFmtId="0" fontId="19" fillId="3" borderId="74" xfId="3" applyFont="1" applyFill="1" applyBorder="1" applyAlignment="1">
      <alignment horizontal="center" vertical="center" wrapText="1"/>
    </xf>
    <xf numFmtId="0" fontId="19" fillId="3" borderId="69" xfId="3" applyFont="1" applyFill="1" applyBorder="1" applyAlignment="1">
      <alignment horizontal="center" vertical="center" wrapText="1"/>
    </xf>
    <xf numFmtId="0" fontId="19" fillId="6" borderId="81" xfId="3" applyFont="1" applyFill="1" applyBorder="1" applyAlignment="1">
      <alignment horizontal="center" vertical="center" wrapText="1"/>
    </xf>
    <xf numFmtId="0" fontId="19" fillId="6" borderId="78" xfId="3" applyFont="1" applyFill="1" applyBorder="1" applyAlignment="1">
      <alignment horizontal="center" vertical="center" wrapText="1"/>
    </xf>
    <xf numFmtId="169" fontId="39" fillId="8" borderId="68" xfId="1" applyNumberFormat="1" applyFont="1" applyFill="1" applyBorder="1" applyAlignment="1">
      <alignment vertical="center"/>
    </xf>
    <xf numFmtId="169" fontId="39" fillId="8" borderId="69" xfId="1" applyNumberFormat="1" applyFont="1" applyFill="1" applyBorder="1" applyAlignment="1">
      <alignment vertical="center"/>
    </xf>
    <xf numFmtId="169" fontId="38" fillId="8" borderId="5" xfId="3" applyNumberFormat="1" applyFont="1" applyFill="1" applyBorder="1" applyAlignment="1">
      <alignment vertical="center"/>
    </xf>
    <xf numFmtId="169" fontId="38" fillId="8" borderId="26" xfId="3" applyNumberFormat="1" applyFont="1" applyFill="1" applyBorder="1" applyAlignment="1">
      <alignment vertical="center"/>
    </xf>
    <xf numFmtId="169" fontId="38" fillId="8" borderId="26" xfId="0" applyNumberFormat="1" applyFont="1" applyFill="1" applyBorder="1">
      <alignment vertical="center" wrapText="1"/>
    </xf>
    <xf numFmtId="0" fontId="16" fillId="0" borderId="0" xfId="0" applyFont="1" applyFill="1" applyBorder="1" applyAlignment="1">
      <alignment vertical="center"/>
    </xf>
    <xf numFmtId="0" fontId="30" fillId="8" borderId="0" xfId="3" applyFont="1" applyFill="1" applyBorder="1" applyAlignment="1">
      <alignment horizontal="center" vertical="center"/>
    </xf>
    <xf numFmtId="0" fontId="8" fillId="0" borderId="52" xfId="4" applyFont="1" applyFill="1" applyBorder="1" applyAlignment="1" applyProtection="1">
      <alignment horizontal="center" vertical="center"/>
    </xf>
    <xf numFmtId="0" fontId="8" fillId="0" borderId="69" xfId="4" applyFont="1" applyFill="1" applyBorder="1" applyAlignment="1" applyProtection="1">
      <alignment vertical="center"/>
    </xf>
    <xf numFmtId="0" fontId="22" fillId="0" borderId="61" xfId="4" applyFont="1" applyFill="1" applyBorder="1" applyAlignment="1" applyProtection="1">
      <alignment horizontal="center" vertical="center"/>
    </xf>
    <xf numFmtId="4" fontId="20" fillId="0" borderId="68" xfId="1" applyNumberFormat="1" applyFont="1" applyBorder="1" applyAlignment="1">
      <alignment horizontal="right" vertical="center" indent="3"/>
    </xf>
    <xf numFmtId="3" fontId="20" fillId="0" borderId="69" xfId="5" applyNumberFormat="1" applyFont="1" applyBorder="1" applyAlignment="1">
      <alignment horizontal="right" vertical="center" indent="3"/>
    </xf>
    <xf numFmtId="3" fontId="20" fillId="0" borderId="5" xfId="5" applyNumberFormat="1" applyFont="1" applyBorder="1" applyAlignment="1">
      <alignment horizontal="right" vertical="center" indent="3"/>
    </xf>
    <xf numFmtId="3" fontId="20" fillId="0" borderId="26" xfId="5" applyNumberFormat="1" applyFont="1" applyFill="1" applyBorder="1" applyAlignment="1">
      <alignment horizontal="right" vertical="center" indent="3"/>
    </xf>
    <xf numFmtId="0" fontId="8" fillId="0" borderId="26" xfId="0" applyFont="1" applyBorder="1" applyAlignment="1">
      <alignment vertical="center"/>
    </xf>
    <xf numFmtId="0" fontId="29" fillId="0" borderId="26" xfId="0" applyFont="1" applyBorder="1" applyAlignment="1">
      <alignment vertical="center"/>
    </xf>
    <xf numFmtId="0" fontId="29" fillId="8" borderId="26" xfId="0" applyFont="1" applyFill="1" applyBorder="1" applyAlignment="1">
      <alignment vertical="center"/>
    </xf>
    <xf numFmtId="4" fontId="20" fillId="0" borderId="74" xfId="1" applyNumberFormat="1" applyFont="1" applyBorder="1" applyAlignment="1">
      <alignment horizontal="right" vertical="center" indent="3"/>
    </xf>
    <xf numFmtId="1" fontId="0" fillId="0" borderId="82" xfId="0" applyNumberFormat="1" applyBorder="1" applyAlignment="1">
      <alignment horizontal="center" vertical="center" wrapText="1"/>
    </xf>
    <xf numFmtId="1" fontId="0" fillId="0" borderId="97" xfId="0" applyNumberFormat="1" applyBorder="1" applyAlignment="1">
      <alignment horizontal="center" vertical="center" wrapText="1"/>
    </xf>
    <xf numFmtId="9" fontId="0" fillId="0" borderId="99" xfId="6" applyFont="1" applyBorder="1" applyAlignment="1">
      <alignment horizontal="center" vertical="center" wrapText="1"/>
    </xf>
    <xf numFmtId="169" fontId="0" fillId="0" borderId="82" xfId="1" applyNumberFormat="1" applyFont="1" applyBorder="1" applyAlignment="1">
      <alignment horizontal="right" vertical="center" wrapText="1" indent="2"/>
    </xf>
    <xf numFmtId="169" fontId="0" fillId="0" borderId="97" xfId="1" applyNumberFormat="1" applyFont="1" applyBorder="1" applyAlignment="1">
      <alignment horizontal="right" vertical="center" wrapText="1" indent="2"/>
    </xf>
    <xf numFmtId="169" fontId="0" fillId="0" borderId="99" xfId="1" applyNumberFormat="1" applyFont="1" applyBorder="1" applyAlignment="1">
      <alignment horizontal="right" vertical="center" wrapText="1" indent="2"/>
    </xf>
    <xf numFmtId="0" fontId="0" fillId="0" borderId="0" xfId="0" applyAlignment="1">
      <alignment vertical="center" wrapText="1"/>
    </xf>
    <xf numFmtId="0" fontId="0" fillId="0" borderId="21" xfId="0" applyBorder="1" applyAlignment="1">
      <alignment vertical="center" wrapText="1"/>
    </xf>
    <xf numFmtId="0" fontId="0" fillId="0" borderId="19" xfId="0" applyBorder="1" applyAlignment="1">
      <alignment vertical="center" wrapText="1"/>
    </xf>
    <xf numFmtId="0" fontId="0" fillId="0" borderId="41" xfId="0" applyBorder="1" applyAlignment="1">
      <alignment vertical="center" wrapText="1"/>
    </xf>
    <xf numFmtId="0" fontId="0" fillId="0" borderId="24" xfId="0" applyBorder="1" applyAlignment="1">
      <alignment vertical="center" wrapText="1"/>
    </xf>
    <xf numFmtId="169" fontId="0" fillId="0" borderId="98" xfId="1" applyNumberFormat="1" applyFont="1" applyBorder="1" applyAlignment="1">
      <alignment horizontal="right" vertical="center" wrapText="1" indent="2"/>
    </xf>
    <xf numFmtId="169" fontId="37" fillId="3" borderId="74" xfId="0" applyNumberFormat="1" applyFont="1" applyFill="1" applyBorder="1" applyAlignment="1">
      <alignment horizontal="right" vertical="center" wrapText="1" indent="2"/>
    </xf>
    <xf numFmtId="169" fontId="37" fillId="3" borderId="5" xfId="1" applyNumberFormat="1" applyFont="1" applyFill="1" applyBorder="1" applyAlignment="1">
      <alignment horizontal="right" vertical="center" wrapText="1" indent="2"/>
    </xf>
    <xf numFmtId="169" fontId="37" fillId="3" borderId="95" xfId="1" applyNumberFormat="1" applyFont="1" applyFill="1" applyBorder="1" applyAlignment="1">
      <alignment horizontal="right" vertical="center" wrapText="1" indent="2"/>
    </xf>
    <xf numFmtId="1" fontId="0" fillId="0" borderId="85" xfId="0" applyNumberFormat="1" applyBorder="1" applyAlignment="1">
      <alignment horizontal="center" vertical="center" wrapText="1"/>
    </xf>
    <xf numFmtId="1" fontId="0" fillId="0" borderId="6" xfId="0" applyNumberFormat="1" applyBorder="1" applyAlignment="1">
      <alignment horizontal="center" vertical="center" wrapText="1"/>
    </xf>
    <xf numFmtId="9" fontId="0" fillId="0" borderId="106" xfId="6" applyFont="1" applyBorder="1" applyAlignment="1">
      <alignment horizontal="center" vertical="center" wrapText="1"/>
    </xf>
    <xf numFmtId="169" fontId="0" fillId="0" borderId="85" xfId="1" applyNumberFormat="1" applyFont="1" applyBorder="1" applyAlignment="1">
      <alignment horizontal="right" vertical="center" wrapText="1" indent="2"/>
    </xf>
    <xf numFmtId="169" fontId="0" fillId="0" borderId="6" xfId="1" applyNumberFormat="1" applyFont="1" applyBorder="1" applyAlignment="1">
      <alignment horizontal="right" vertical="center" wrapText="1" indent="2"/>
    </xf>
    <xf numFmtId="169" fontId="0" fillId="0" borderId="106" xfId="1" applyNumberFormat="1" applyFont="1" applyBorder="1" applyAlignment="1">
      <alignment horizontal="right" vertical="center" wrapText="1" indent="2"/>
    </xf>
    <xf numFmtId="169" fontId="0" fillId="0" borderId="96" xfId="1" applyNumberFormat="1" applyFont="1" applyBorder="1" applyAlignment="1">
      <alignment horizontal="right" vertical="center" wrapText="1" indent="2"/>
    </xf>
    <xf numFmtId="169" fontId="37" fillId="3" borderId="52" xfId="0" applyNumberFormat="1" applyFont="1" applyFill="1" applyBorder="1" applyAlignment="1">
      <alignment horizontal="right" vertical="center" wrapText="1" indent="2"/>
    </xf>
    <xf numFmtId="0" fontId="36" fillId="0" borderId="107" xfId="0" applyFont="1" applyBorder="1" applyAlignment="1">
      <alignment horizontal="center" vertical="center" wrapText="1"/>
    </xf>
    <xf numFmtId="0" fontId="36" fillId="0" borderId="109" xfId="0" applyFont="1" applyBorder="1" applyAlignment="1">
      <alignment horizontal="center" vertical="center" wrapText="1"/>
    </xf>
    <xf numFmtId="0" fontId="6" fillId="4" borderId="108" xfId="0" applyFont="1" applyFill="1" applyBorder="1" applyAlignment="1">
      <alignment horizontal="center" vertical="center" wrapText="1"/>
    </xf>
    <xf numFmtId="0" fontId="0" fillId="4" borderId="104" xfId="0" applyFill="1" applyBorder="1" applyAlignment="1">
      <alignment horizontal="center" vertical="center" wrapText="1"/>
    </xf>
    <xf numFmtId="0" fontId="0" fillId="4" borderId="8" xfId="0" applyFill="1" applyBorder="1" applyAlignment="1">
      <alignment horizontal="center" vertical="center" wrapText="1"/>
    </xf>
    <xf numFmtId="9" fontId="0" fillId="4" borderId="105" xfId="6" applyFont="1" applyFill="1" applyBorder="1" applyAlignment="1">
      <alignment horizontal="center" vertical="center" wrapText="1"/>
    </xf>
    <xf numFmtId="169" fontId="0" fillId="4" borderId="104" xfId="1" applyNumberFormat="1" applyFont="1" applyFill="1" applyBorder="1" applyAlignment="1">
      <alignment horizontal="right" vertical="center" wrapText="1" indent="2"/>
    </xf>
    <xf numFmtId="169" fontId="0" fillId="4" borderId="8" xfId="1" applyNumberFormat="1" applyFont="1" applyFill="1" applyBorder="1" applyAlignment="1">
      <alignment horizontal="right" vertical="center" wrapText="1" indent="2"/>
    </xf>
    <xf numFmtId="169" fontId="0" fillId="4" borderId="105" xfId="1" applyNumberFormat="1" applyFont="1" applyFill="1" applyBorder="1" applyAlignment="1">
      <alignment horizontal="right" vertical="center" wrapText="1" indent="2"/>
    </xf>
    <xf numFmtId="169" fontId="0" fillId="4" borderId="89" xfId="1" applyNumberFormat="1" applyFont="1" applyFill="1" applyBorder="1" applyAlignment="1">
      <alignment horizontal="right" vertical="center" wrapText="1" indent="2"/>
    </xf>
    <xf numFmtId="0" fontId="6" fillId="4" borderId="110" xfId="0" applyFont="1" applyFill="1" applyBorder="1" applyAlignment="1">
      <alignment horizontal="center" vertical="center" wrapText="1"/>
    </xf>
    <xf numFmtId="169" fontId="0" fillId="4" borderId="10" xfId="1" applyNumberFormat="1" applyFont="1" applyFill="1" applyBorder="1" applyAlignment="1">
      <alignment horizontal="right" vertical="center" wrapText="1" indent="2"/>
    </xf>
    <xf numFmtId="169" fontId="0" fillId="4" borderId="7" xfId="1" applyNumberFormat="1" applyFont="1" applyFill="1" applyBorder="1" applyAlignment="1">
      <alignment horizontal="right" vertical="center" wrapText="1" indent="2"/>
    </xf>
    <xf numFmtId="169" fontId="0" fillId="4" borderId="100" xfId="1" applyNumberFormat="1" applyFont="1" applyFill="1" applyBorder="1" applyAlignment="1">
      <alignment horizontal="right" vertical="center" wrapText="1" indent="2"/>
    </xf>
    <xf numFmtId="169" fontId="0" fillId="4" borderId="93" xfId="1" applyNumberFormat="1" applyFont="1" applyFill="1" applyBorder="1" applyAlignment="1">
      <alignment horizontal="right" vertical="center" wrapText="1" indent="2"/>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0" fillId="4" borderId="100" xfId="0" applyFill="1" applyBorder="1" applyAlignment="1">
      <alignment horizontal="center" vertical="center" wrapText="1"/>
    </xf>
    <xf numFmtId="0" fontId="37" fillId="3" borderId="101" xfId="0" applyFont="1" applyFill="1" applyBorder="1" applyAlignment="1">
      <alignment horizontal="right" vertical="center" wrapText="1"/>
    </xf>
    <xf numFmtId="0" fontId="14" fillId="11" borderId="23" xfId="0" applyFont="1" applyFill="1" applyBorder="1" applyAlignment="1">
      <alignment horizontal="left" vertical="center" indent="2"/>
    </xf>
    <xf numFmtId="0" fontId="0" fillId="0" borderId="0" xfId="0" applyAlignment="1">
      <alignment vertical="top"/>
    </xf>
    <xf numFmtId="0" fontId="36" fillId="17" borderId="0" xfId="0" applyFont="1" applyFill="1" applyAlignment="1">
      <alignment vertical="top"/>
    </xf>
    <xf numFmtId="0" fontId="36" fillId="18" borderId="0" xfId="0" applyFont="1" applyFill="1" applyAlignment="1">
      <alignment vertical="top"/>
    </xf>
    <xf numFmtId="0" fontId="36" fillId="19" borderId="0" xfId="0" applyFont="1" applyFill="1" applyAlignment="1">
      <alignment vertical="top"/>
    </xf>
    <xf numFmtId="0" fontId="0" fillId="0" borderId="0" xfId="0" applyAlignment="1">
      <alignment horizontal="left" vertical="top" wrapText="1"/>
    </xf>
    <xf numFmtId="0" fontId="12" fillId="0" borderId="0" xfId="0" applyFont="1" applyAlignment="1">
      <alignment horizontal="left" vertical="center" wrapText="1"/>
    </xf>
    <xf numFmtId="0" fontId="46" fillId="8" borderId="0" xfId="0" applyFont="1" applyFill="1" applyAlignment="1">
      <alignment vertical="center"/>
    </xf>
    <xf numFmtId="0" fontId="11" fillId="8" borderId="0" xfId="0" applyFont="1" applyFill="1" applyAlignment="1">
      <alignment vertical="top"/>
    </xf>
    <xf numFmtId="1" fontId="0" fillId="3" borderId="13" xfId="0" applyNumberFormat="1" applyFont="1" applyFill="1" applyBorder="1" applyAlignment="1" applyProtection="1">
      <alignment vertical="center"/>
    </xf>
    <xf numFmtId="1" fontId="0" fillId="6" borderId="13" xfId="0" applyNumberFormat="1" applyFont="1" applyFill="1" applyBorder="1" applyAlignment="1" applyProtection="1">
      <alignment vertical="center"/>
    </xf>
    <xf numFmtId="3" fontId="20" fillId="9" borderId="58" xfId="5" applyNumberFormat="1" applyFont="1" applyFill="1" applyBorder="1" applyAlignment="1">
      <alignment horizontal="center" vertical="center"/>
    </xf>
    <xf numFmtId="3" fontId="20" fillId="9" borderId="58" xfId="3" applyNumberFormat="1" applyFont="1" applyFill="1" applyBorder="1" applyAlignment="1">
      <alignment horizontal="center" vertical="center"/>
    </xf>
    <xf numFmtId="1" fontId="0" fillId="3" borderId="13" xfId="0" applyNumberFormat="1" applyFont="1" applyFill="1" applyBorder="1" applyAlignment="1" applyProtection="1">
      <alignment vertical="center"/>
      <protection locked="0"/>
    </xf>
    <xf numFmtId="1" fontId="0" fillId="0" borderId="33" xfId="0" applyNumberFormat="1" applyFont="1" applyFill="1" applyBorder="1" applyAlignment="1" applyProtection="1">
      <alignment vertical="center"/>
    </xf>
    <xf numFmtId="0" fontId="0" fillId="5" borderId="0" xfId="0" applyFill="1">
      <alignment vertical="center" wrapText="1"/>
    </xf>
    <xf numFmtId="0" fontId="6" fillId="5" borderId="0" xfId="0" applyFont="1" applyFill="1" applyAlignment="1">
      <alignment vertical="center" wrapText="1"/>
    </xf>
    <xf numFmtId="9" fontId="8" fillId="0" borderId="0" xfId="6" applyFont="1" applyFill="1" applyAlignment="1">
      <alignment vertical="center"/>
    </xf>
    <xf numFmtId="0" fontId="11" fillId="8" borderId="117" xfId="0" applyFont="1" applyFill="1" applyBorder="1" applyAlignment="1" applyProtection="1">
      <alignment vertical="center" wrapText="1"/>
    </xf>
    <xf numFmtId="0" fontId="0" fillId="0" borderId="117" xfId="0" applyFont="1" applyBorder="1" applyAlignment="1" applyProtection="1">
      <alignment vertical="center" wrapText="1"/>
    </xf>
    <xf numFmtId="0" fontId="8" fillId="0" borderId="117" xfId="3" applyFont="1" applyBorder="1" applyAlignment="1" applyProtection="1">
      <alignment vertical="center" wrapText="1"/>
    </xf>
    <xf numFmtId="0" fontId="0" fillId="0" borderId="117" xfId="0" applyFont="1" applyFill="1" applyBorder="1" applyAlignment="1" applyProtection="1">
      <alignment vertical="center" wrapText="1"/>
    </xf>
    <xf numFmtId="0" fontId="0" fillId="0" borderId="117" xfId="0" applyFont="1" applyFill="1" applyBorder="1" applyAlignment="1" applyProtection="1">
      <alignment horizontal="left" vertical="center" wrapText="1"/>
    </xf>
    <xf numFmtId="2" fontId="0" fillId="0" borderId="117" xfId="0" applyNumberFormat="1" applyFont="1" applyFill="1" applyBorder="1" applyAlignment="1" applyProtection="1">
      <alignment horizontal="left" vertical="center" wrapText="1"/>
    </xf>
    <xf numFmtId="0" fontId="0" fillId="0" borderId="117" xfId="0" applyFont="1" applyBorder="1" applyAlignment="1" applyProtection="1">
      <alignment horizontal="left" vertical="center" wrapText="1"/>
    </xf>
    <xf numFmtId="0" fontId="0" fillId="9" borderId="117" xfId="0" applyFont="1" applyFill="1" applyBorder="1" applyAlignment="1" applyProtection="1">
      <alignment vertical="center" wrapText="1"/>
    </xf>
    <xf numFmtId="0" fontId="0" fillId="0" borderId="117" xfId="0" applyFill="1" applyBorder="1" applyAlignment="1" applyProtection="1">
      <alignment horizontal="left" vertical="center"/>
    </xf>
    <xf numFmtId="0" fontId="51" fillId="3" borderId="13" xfId="0" applyFont="1" applyFill="1" applyBorder="1" applyAlignment="1" applyProtection="1">
      <alignment horizontal="right" vertical="center" indent="1"/>
      <protection locked="0"/>
    </xf>
    <xf numFmtId="167" fontId="51" fillId="5" borderId="15" xfId="0" applyNumberFormat="1" applyFont="1" applyFill="1" applyBorder="1" applyAlignment="1" applyProtection="1">
      <alignment vertical="center"/>
    </xf>
    <xf numFmtId="1" fontId="51" fillId="5" borderId="13" xfId="0" applyNumberFormat="1" applyFont="1" applyFill="1" applyBorder="1" applyAlignment="1" applyProtection="1">
      <alignment vertical="center"/>
    </xf>
    <xf numFmtId="0" fontId="51" fillId="5" borderId="33" xfId="0" applyFont="1" applyFill="1" applyBorder="1" applyAlignment="1" applyProtection="1">
      <alignment vertical="center"/>
    </xf>
    <xf numFmtId="167" fontId="51" fillId="5" borderId="32" xfId="6" applyNumberFormat="1" applyFont="1" applyFill="1" applyBorder="1" applyAlignment="1" applyProtection="1">
      <alignment vertical="center"/>
    </xf>
    <xf numFmtId="0" fontId="51" fillId="5" borderId="33" xfId="0" applyNumberFormat="1" applyFont="1" applyFill="1" applyBorder="1" applyAlignment="1" applyProtection="1">
      <alignment vertical="center"/>
    </xf>
    <xf numFmtId="0" fontId="52" fillId="3" borderId="13" xfId="0" applyFont="1" applyFill="1" applyBorder="1" applyAlignment="1" applyProtection="1">
      <alignment horizontal="right" vertical="center" indent="1"/>
      <protection locked="0"/>
    </xf>
    <xf numFmtId="167" fontId="52" fillId="5" borderId="13" xfId="0" applyNumberFormat="1" applyFont="1" applyFill="1" applyBorder="1" applyAlignment="1" applyProtection="1">
      <alignment vertical="center"/>
    </xf>
    <xf numFmtId="0" fontId="52" fillId="5" borderId="13" xfId="0" applyNumberFormat="1" applyFont="1" applyFill="1" applyBorder="1" applyAlignment="1" applyProtection="1">
      <alignment vertical="center"/>
    </xf>
    <xf numFmtId="0" fontId="52" fillId="5" borderId="33" xfId="0" applyFont="1" applyFill="1" applyBorder="1" applyAlignment="1" applyProtection="1">
      <alignment vertical="center"/>
    </xf>
    <xf numFmtId="167" fontId="52" fillId="5" borderId="33" xfId="0" applyNumberFormat="1" applyFont="1" applyFill="1" applyBorder="1" applyAlignment="1" applyProtection="1">
      <alignment vertical="center"/>
    </xf>
    <xf numFmtId="0" fontId="52" fillId="5" borderId="33" xfId="0" applyNumberFormat="1" applyFont="1" applyFill="1" applyBorder="1" applyAlignment="1" applyProtection="1">
      <alignment vertical="center"/>
    </xf>
    <xf numFmtId="0" fontId="51" fillId="13" borderId="16" xfId="0" applyFont="1" applyFill="1" applyBorder="1" applyAlignment="1" applyProtection="1">
      <alignment horizontal="right" vertical="center" indent="1"/>
      <protection locked="0"/>
    </xf>
    <xf numFmtId="0" fontId="51" fillId="5" borderId="34" xfId="0" applyFont="1" applyFill="1" applyBorder="1" applyAlignment="1" applyProtection="1">
      <alignment vertical="center"/>
    </xf>
    <xf numFmtId="0" fontId="52" fillId="13" borderId="16" xfId="0" applyFont="1" applyFill="1" applyBorder="1" applyAlignment="1" applyProtection="1">
      <alignment horizontal="right" vertical="center" indent="1"/>
      <protection locked="0"/>
    </xf>
    <xf numFmtId="0" fontId="52" fillId="5" borderId="34" xfId="0" applyFont="1" applyFill="1" applyBorder="1" applyAlignment="1" applyProtection="1">
      <alignment vertical="center"/>
    </xf>
    <xf numFmtId="0" fontId="53" fillId="3" borderId="13" xfId="0" applyFont="1" applyFill="1" applyBorder="1" applyAlignment="1" applyProtection="1">
      <alignment vertical="center"/>
      <protection locked="0"/>
    </xf>
    <xf numFmtId="167" fontId="53" fillId="3" borderId="13" xfId="0" applyNumberFormat="1" applyFont="1" applyFill="1" applyBorder="1" applyAlignment="1" applyProtection="1">
      <alignment vertical="center"/>
      <protection locked="0"/>
    </xf>
    <xf numFmtId="2" fontId="53" fillId="3" borderId="13" xfId="0" applyNumberFormat="1" applyFont="1" applyFill="1" applyBorder="1" applyAlignment="1" applyProtection="1">
      <alignment vertical="center"/>
      <protection locked="0"/>
    </xf>
    <xf numFmtId="2" fontId="53" fillId="13" borderId="13" xfId="0" applyNumberFormat="1" applyFont="1" applyFill="1" applyBorder="1" applyAlignment="1" applyProtection="1">
      <alignment vertical="center"/>
      <protection locked="0"/>
    </xf>
    <xf numFmtId="0" fontId="53" fillId="5" borderId="13" xfId="0" applyFont="1" applyFill="1" applyBorder="1" applyAlignment="1" applyProtection="1">
      <alignment vertical="center"/>
    </xf>
    <xf numFmtId="2" fontId="53" fillId="5" borderId="33" xfId="1" applyNumberFormat="1" applyFont="1" applyFill="1" applyBorder="1" applyAlignment="1" applyProtection="1">
      <alignment vertical="center"/>
    </xf>
    <xf numFmtId="0" fontId="53" fillId="0" borderId="33" xfId="0" applyFont="1" applyBorder="1" applyAlignment="1" applyProtection="1">
      <alignment vertical="center"/>
    </xf>
    <xf numFmtId="167" fontId="53" fillId="0" borderId="33" xfId="0" applyNumberFormat="1" applyFont="1" applyBorder="1" applyAlignment="1" applyProtection="1">
      <alignment vertical="center"/>
    </xf>
    <xf numFmtId="2" fontId="53" fillId="0" borderId="33" xfId="0" applyNumberFormat="1" applyFont="1" applyBorder="1" applyAlignment="1" applyProtection="1">
      <alignment vertical="center"/>
    </xf>
    <xf numFmtId="0" fontId="53" fillId="5" borderId="33" xfId="0" applyFont="1" applyFill="1" applyBorder="1" applyAlignment="1" applyProtection="1">
      <alignment vertical="center"/>
    </xf>
    <xf numFmtId="0" fontId="51" fillId="3" borderId="13" xfId="0" applyFont="1" applyFill="1" applyBorder="1" applyAlignment="1" applyProtection="1">
      <alignment vertical="center"/>
      <protection locked="0"/>
    </xf>
    <xf numFmtId="2" fontId="51" fillId="3" borderId="13" xfId="0" applyNumberFormat="1" applyFont="1" applyFill="1" applyBorder="1" applyAlignment="1" applyProtection="1">
      <alignment vertical="center"/>
      <protection locked="0"/>
    </xf>
    <xf numFmtId="2" fontId="51" fillId="13" borderId="13" xfId="0" applyNumberFormat="1" applyFont="1" applyFill="1" applyBorder="1" applyAlignment="1" applyProtection="1">
      <alignment vertical="center"/>
      <protection locked="0"/>
    </xf>
    <xf numFmtId="0" fontId="51" fillId="5" borderId="13" xfId="0" applyFont="1" applyFill="1" applyBorder="1" applyAlignment="1" applyProtection="1">
      <alignment vertical="center"/>
    </xf>
    <xf numFmtId="2" fontId="51" fillId="5" borderId="33" xfId="1" applyNumberFormat="1" applyFont="1" applyFill="1" applyBorder="1" applyAlignment="1" applyProtection="1">
      <alignment vertical="center"/>
    </xf>
    <xf numFmtId="0" fontId="51" fillId="0" borderId="33" xfId="0" applyFont="1" applyBorder="1" applyAlignment="1" applyProtection="1">
      <alignment vertical="center"/>
    </xf>
    <xf numFmtId="2" fontId="51" fillId="0" borderId="33" xfId="0" applyNumberFormat="1" applyFont="1" applyBorder="1" applyAlignment="1" applyProtection="1">
      <alignment vertical="center"/>
    </xf>
    <xf numFmtId="0" fontId="51" fillId="0" borderId="33" xfId="0" applyFont="1" applyFill="1" applyBorder="1" applyAlignment="1" applyProtection="1">
      <alignment vertical="center"/>
    </xf>
    <xf numFmtId="0" fontId="0" fillId="0" borderId="9" xfId="0" applyFont="1" applyBorder="1" applyAlignment="1" applyProtection="1">
      <alignment vertical="center" wrapText="1"/>
    </xf>
    <xf numFmtId="2" fontId="52" fillId="3" borderId="13" xfId="0" applyNumberFormat="1" applyFont="1" applyFill="1" applyBorder="1" applyAlignment="1" applyProtection="1">
      <alignment vertical="center"/>
      <protection locked="0"/>
    </xf>
    <xf numFmtId="0" fontId="47" fillId="17" borderId="0" xfId="0" applyFont="1" applyFill="1" applyAlignment="1">
      <alignment horizontal="center" vertical="center" wrapText="1"/>
    </xf>
    <xf numFmtId="0" fontId="6" fillId="5" borderId="115" xfId="0" applyFont="1" applyFill="1" applyBorder="1" applyAlignment="1">
      <alignment horizontal="center" vertical="center" wrapText="1"/>
    </xf>
    <xf numFmtId="0" fontId="48" fillId="5" borderId="0" xfId="0" applyFont="1" applyFill="1" applyAlignment="1">
      <alignment horizontal="center" vertical="center" wrapText="1"/>
    </xf>
    <xf numFmtId="0" fontId="36" fillId="5" borderId="0" xfId="0" applyFont="1" applyFill="1" applyAlignment="1">
      <alignment horizontal="center" vertical="center" wrapText="1"/>
    </xf>
    <xf numFmtId="0" fontId="50" fillId="5" borderId="0" xfId="0" applyFont="1" applyFill="1" applyAlignment="1">
      <alignment horizontal="left" vertical="center" wrapText="1"/>
    </xf>
    <xf numFmtId="0" fontId="0" fillId="0" borderId="0" xfId="0" applyAlignment="1">
      <alignment horizontal="left" vertical="top" wrapText="1"/>
    </xf>
    <xf numFmtId="0" fontId="12" fillId="0" borderId="0" xfId="0" applyFont="1" applyAlignment="1">
      <alignment horizontal="left" vertical="center" wrapText="1"/>
    </xf>
    <xf numFmtId="0" fontId="7" fillId="0" borderId="0" xfId="0" applyFont="1" applyAlignment="1">
      <alignment horizontal="left" vertical="center" wrapText="1"/>
    </xf>
    <xf numFmtId="0" fontId="0" fillId="0" borderId="9"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7" xfId="0" applyFill="1" applyBorder="1" applyAlignment="1" applyProtection="1">
      <alignment horizontal="left" vertical="center"/>
    </xf>
    <xf numFmtId="0" fontId="0" fillId="0" borderId="93" xfId="0" applyFill="1" applyBorder="1" applyAlignment="1" applyProtection="1">
      <alignment horizontal="left"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0" xfId="0" applyFont="1" applyBorder="1" applyAlignment="1" applyProtection="1">
      <alignment horizontal="center" vertical="center"/>
    </xf>
    <xf numFmtId="0" fontId="0" fillId="0" borderId="9" xfId="0" applyFont="1" applyFill="1" applyBorder="1" applyAlignment="1" applyProtection="1">
      <alignment horizontal="left" vertical="center" wrapText="1"/>
    </xf>
    <xf numFmtId="0" fontId="0" fillId="0" borderId="10" xfId="0" applyFont="1" applyFill="1" applyBorder="1" applyAlignment="1" applyProtection="1">
      <alignment horizontal="left" vertical="center" wrapText="1"/>
    </xf>
    <xf numFmtId="0" fontId="12" fillId="3" borderId="12" xfId="0" applyFont="1" applyFill="1" applyBorder="1" applyAlignment="1" applyProtection="1">
      <alignment horizontal="center" vertical="center"/>
    </xf>
    <xf numFmtId="0" fontId="12" fillId="3" borderId="27" xfId="0" applyFont="1" applyFill="1" applyBorder="1" applyAlignment="1" applyProtection="1">
      <alignment horizontal="center" vertical="center"/>
    </xf>
    <xf numFmtId="0" fontId="13" fillId="6" borderId="6" xfId="0" applyFont="1" applyFill="1" applyBorder="1" applyAlignment="1" applyProtection="1">
      <alignment horizontal="center" vertical="center" wrapText="1"/>
    </xf>
    <xf numFmtId="0" fontId="13" fillId="6" borderId="8" xfId="0" applyFont="1" applyFill="1" applyBorder="1" applyAlignment="1" applyProtection="1">
      <alignment horizontal="center" vertical="center" wrapText="1"/>
    </xf>
    <xf numFmtId="0" fontId="13" fillId="0" borderId="37" xfId="0" applyFont="1" applyBorder="1" applyAlignment="1" applyProtection="1">
      <alignment horizontal="center" vertical="center"/>
    </xf>
    <xf numFmtId="0" fontId="13" fillId="0" borderId="38" xfId="0" applyFont="1" applyBorder="1" applyAlignment="1" applyProtection="1">
      <alignment horizontal="center" vertical="center"/>
    </xf>
    <xf numFmtId="0" fontId="13" fillId="0" borderId="7"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3" borderId="13"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4" xfId="0" applyFont="1" applyBorder="1" applyAlignment="1" applyProtection="1">
      <alignment horizontal="center" vertical="center"/>
    </xf>
    <xf numFmtId="0" fontId="6" fillId="6" borderId="30" xfId="0" applyFont="1" applyFill="1" applyBorder="1" applyAlignment="1" applyProtection="1">
      <alignment horizontal="center" vertical="center"/>
    </xf>
    <xf numFmtId="0" fontId="6" fillId="6" borderId="28" xfId="0" applyFont="1" applyFill="1" applyBorder="1" applyAlignment="1" applyProtection="1">
      <alignment horizontal="center" vertical="center"/>
    </xf>
    <xf numFmtId="0" fontId="6" fillId="6" borderId="29" xfId="0" applyFont="1" applyFill="1" applyBorder="1" applyAlignment="1" applyProtection="1">
      <alignment horizontal="center" vertical="center"/>
    </xf>
    <xf numFmtId="0" fontId="0" fillId="0" borderId="11" xfId="0" applyFont="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16" fillId="3" borderId="116" xfId="0" applyFont="1" applyFill="1" applyBorder="1" applyAlignment="1" applyProtection="1">
      <alignment horizontal="center" vertical="center"/>
    </xf>
    <xf numFmtId="0" fontId="16" fillId="3" borderId="117" xfId="0" applyFont="1" applyFill="1" applyBorder="1" applyAlignment="1" applyProtection="1">
      <alignment horizontal="center" vertical="center"/>
    </xf>
    <xf numFmtId="0" fontId="0" fillId="0" borderId="117" xfId="0" applyFont="1" applyBorder="1" applyAlignment="1" applyProtection="1">
      <alignment horizontal="left" vertical="center" wrapText="1"/>
    </xf>
    <xf numFmtId="0" fontId="0" fillId="0" borderId="119" xfId="0" applyFill="1" applyBorder="1" applyAlignment="1" applyProtection="1">
      <alignment horizontal="left" vertical="center"/>
    </xf>
    <xf numFmtId="0" fontId="0" fillId="0" borderId="120" xfId="0" applyFill="1" applyBorder="1" applyAlignment="1" applyProtection="1">
      <alignment horizontal="left" vertical="center"/>
    </xf>
    <xf numFmtId="0" fontId="0" fillId="0" borderId="117" xfId="0" applyFill="1" applyBorder="1" applyAlignment="1" applyProtection="1">
      <alignment horizontal="left" vertical="center" wrapText="1"/>
    </xf>
    <xf numFmtId="0" fontId="0" fillId="0" borderId="118" xfId="0" applyFill="1" applyBorder="1" applyAlignment="1" applyProtection="1">
      <alignment horizontal="left" vertical="center" wrapText="1"/>
    </xf>
    <xf numFmtId="0" fontId="41" fillId="8" borderId="95" xfId="3" applyFont="1" applyFill="1" applyBorder="1" applyAlignment="1">
      <alignment horizontal="center" vertical="center"/>
    </xf>
    <xf numFmtId="0" fontId="41" fillId="8" borderId="73" xfId="3" applyFont="1" applyFill="1" applyBorder="1" applyAlignment="1">
      <alignment horizontal="center" vertical="center"/>
    </xf>
    <xf numFmtId="0" fontId="18" fillId="0" borderId="55" xfId="3" applyFont="1" applyFill="1" applyBorder="1" applyAlignment="1">
      <alignment horizontal="center" vertical="center"/>
    </xf>
    <xf numFmtId="0" fontId="18" fillId="0" borderId="56" xfId="3" applyFont="1" applyFill="1" applyBorder="1" applyAlignment="1">
      <alignment horizontal="center" vertical="center"/>
    </xf>
    <xf numFmtId="0" fontId="18" fillId="0" borderId="52" xfId="3" applyFont="1" applyFill="1" applyBorder="1" applyAlignment="1">
      <alignment horizontal="center" vertical="center"/>
    </xf>
    <xf numFmtId="0" fontId="12" fillId="3" borderId="75" xfId="0" applyFont="1" applyFill="1" applyBorder="1" applyAlignment="1">
      <alignment horizontal="center" vertical="center"/>
    </xf>
    <xf numFmtId="0" fontId="12" fillId="3" borderId="76" xfId="0" applyFont="1" applyFill="1" applyBorder="1" applyAlignment="1">
      <alignment horizontal="center" vertical="center"/>
    </xf>
    <xf numFmtId="0" fontId="12" fillId="3" borderId="77" xfId="0" applyFont="1" applyFill="1" applyBorder="1" applyAlignment="1">
      <alignment horizontal="center" vertical="center"/>
    </xf>
    <xf numFmtId="0" fontId="12" fillId="6" borderId="76" xfId="0" applyFont="1" applyFill="1" applyBorder="1" applyAlignment="1">
      <alignment horizontal="center" vertical="center"/>
    </xf>
    <xf numFmtId="0" fontId="12" fillId="6" borderId="77" xfId="0" applyFont="1" applyFill="1" applyBorder="1" applyAlignment="1">
      <alignment horizontal="center" vertical="center"/>
    </xf>
    <xf numFmtId="0" fontId="35" fillId="0" borderId="70" xfId="3" applyFont="1" applyFill="1" applyBorder="1" applyAlignment="1">
      <alignment horizontal="center" vertical="center"/>
    </xf>
    <xf numFmtId="0" fontId="35" fillId="0" borderId="71" xfId="3" applyFont="1" applyFill="1" applyBorder="1" applyAlignment="1">
      <alignment horizontal="center" vertical="center"/>
    </xf>
    <xf numFmtId="0" fontId="17" fillId="0" borderId="65" xfId="3" applyFont="1" applyFill="1" applyBorder="1" applyAlignment="1">
      <alignment horizontal="center" vertical="center"/>
    </xf>
    <xf numFmtId="0" fontId="17" fillId="0" borderId="67" xfId="3" applyFont="1" applyFill="1" applyBorder="1" applyAlignment="1">
      <alignment horizontal="center" vertical="center"/>
    </xf>
    <xf numFmtId="0" fontId="17" fillId="0" borderId="69" xfId="3" applyFont="1" applyFill="1" applyBorder="1" applyAlignment="1">
      <alignment horizontal="center" vertical="center"/>
    </xf>
    <xf numFmtId="0" fontId="19" fillId="0" borderId="54" xfId="3" applyFont="1" applyFill="1" applyBorder="1" applyAlignment="1">
      <alignment horizontal="center" vertical="center"/>
    </xf>
    <xf numFmtId="0" fontId="19" fillId="0" borderId="57" xfId="3" applyFont="1" applyFill="1" applyBorder="1" applyAlignment="1">
      <alignment horizontal="center" vertical="center"/>
    </xf>
    <xf numFmtId="0" fontId="19" fillId="0" borderId="61" xfId="3" applyFont="1" applyFill="1" applyBorder="1" applyAlignment="1">
      <alignment horizontal="center" vertical="center"/>
    </xf>
    <xf numFmtId="0" fontId="34" fillId="0" borderId="0" xfId="0" applyFont="1" applyAlignment="1">
      <alignment horizontal="center" vertical="center" wrapText="1"/>
    </xf>
    <xf numFmtId="0" fontId="34" fillId="4" borderId="111" xfId="0" applyFont="1" applyFill="1" applyBorder="1" applyAlignment="1">
      <alignment horizontal="center" vertical="center" wrapText="1"/>
    </xf>
    <xf numFmtId="0" fontId="34" fillId="4" borderId="112" xfId="0" applyFont="1" applyFill="1" applyBorder="1" applyAlignment="1">
      <alignment horizontal="center" vertical="center" wrapText="1"/>
    </xf>
    <xf numFmtId="0" fontId="34" fillId="4" borderId="113" xfId="0" applyFont="1" applyFill="1" applyBorder="1" applyAlignment="1">
      <alignment horizontal="center" vertical="center" wrapText="1"/>
    </xf>
    <xf numFmtId="0" fontId="34" fillId="4" borderId="114" xfId="0" applyFont="1" applyFill="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54" fillId="8" borderId="19" xfId="0" applyFont="1" applyFill="1" applyBorder="1" applyAlignment="1" applyProtection="1">
      <alignment vertical="center"/>
    </xf>
    <xf numFmtId="0" fontId="55" fillId="8" borderId="19" xfId="0" applyFont="1" applyFill="1" applyBorder="1" applyAlignment="1" applyProtection="1">
      <alignment vertical="center"/>
    </xf>
  </cellXfs>
  <cellStyles count="7">
    <cellStyle name="Entrée" xfId="2" builtinId="20"/>
    <cellStyle name="Financier0" xfId="5" xr:uid="{00000000-0005-0000-0000-000001000000}"/>
    <cellStyle name="Lien hypertexte" xfId="4" builtinId="8"/>
    <cellStyle name="Monétaire" xfId="1" builtinId="4"/>
    <cellStyle name="Normal" xfId="0" builtinId="0" customBuiltin="1"/>
    <cellStyle name="Normal 2" xfId="3" xr:uid="{00000000-0005-0000-0000-000005000000}"/>
    <cellStyle name="Pourcentage" xfId="6" builtinId="5"/>
  </cellStyles>
  <dxfs count="12">
    <dxf>
      <font>
        <strike val="0"/>
        <outline val="0"/>
        <shadow val="0"/>
        <u val="none"/>
        <vertAlign val="baseline"/>
        <sz val="11"/>
        <color auto="1"/>
        <name val="Calibri"/>
        <scheme val="minor"/>
      </font>
      <numFmt numFmtId="0" formatCode="General"/>
      <alignment vertical="center" textRotation="0" wrapText="0" indent="0" justifyLastLine="0" shrinkToFit="0" readingOrder="0"/>
    </dxf>
    <dxf>
      <font>
        <strike val="0"/>
        <outline val="0"/>
        <shadow val="0"/>
        <u val="none"/>
        <vertAlign val="baseline"/>
        <sz val="11"/>
        <color auto="1"/>
        <name val="Calibri"/>
        <scheme val="minor"/>
      </font>
      <alignment vertical="center" textRotation="0" wrapText="0" indent="0" justifyLastLine="0" shrinkToFit="0" readingOrder="0"/>
    </dxf>
    <dxf>
      <fill>
        <patternFill patternType="none">
          <fgColor indexed="64"/>
          <bgColor auto="1"/>
        </patternFill>
      </fill>
    </dxf>
    <dxf>
      <numFmt numFmtId="3" formatCode="#,##0"/>
      <border diagonalUp="0" diagonalDown="0">
        <left style="thin">
          <color auto="1"/>
        </left>
        <right style="medium">
          <color auto="1"/>
        </right>
        <vertical style="thin">
          <color auto="1"/>
        </vertical>
      </border>
    </dxf>
    <dxf>
      <border diagonalUp="0" diagonalDown="0">
        <left style="thin">
          <color auto="1"/>
        </left>
        <right style="thin">
          <color auto="1"/>
        </right>
        <vertical style="thin">
          <color auto="1"/>
        </vertical>
      </border>
    </dxf>
    <dxf>
      <border diagonalUp="0" diagonalDown="0">
        <left style="double">
          <color auto="1"/>
        </left>
        <right style="thin">
          <color auto="1"/>
        </right>
        <vertical style="thin">
          <color auto="1"/>
        </vertical>
      </border>
    </dxf>
    <dxf>
      <font>
        <strike val="0"/>
        <outline val="0"/>
        <shadow val="0"/>
        <vertAlign val="baseline"/>
        <sz val="11"/>
        <name val="Calibri"/>
        <scheme val="minor"/>
      </font>
      <alignment horizontal="center" vertical="center" textRotation="0" wrapText="0" indent="0" justifyLastLine="0" shrinkToFit="0" readingOrder="0"/>
      <border diagonalUp="0" diagonalDown="0">
        <left style="thin">
          <color indexed="64"/>
        </left>
        <right style="double">
          <color auto="1"/>
        </right>
        <top style="medium">
          <color indexed="0"/>
        </top>
        <bottom style="medium">
          <color indexed="0"/>
        </bottom>
        <vertical style="thin">
          <color indexed="64"/>
        </vertical>
      </border>
    </dxf>
    <dxf>
      <font>
        <b val="0"/>
        <i val="0"/>
        <strike val="0"/>
        <condense val="0"/>
        <extend val="0"/>
        <outline val="0"/>
        <shadow val="0"/>
        <u val="none"/>
        <vertAlign val="baseline"/>
        <sz val="11"/>
        <color auto="1"/>
        <name val="Calibri"/>
        <scheme val="minor"/>
      </font>
      <alignment vertical="center" textRotation="0" wrapText="0" indent="0" justifyLastLine="0" shrinkToFit="0" readingOrder="0"/>
      <border diagonalUp="0" diagonalDown="0">
        <left style="thin">
          <color indexed="64"/>
        </left>
        <right style="thin">
          <color indexed="64"/>
        </right>
        <top style="medium">
          <color indexed="0"/>
        </top>
        <bottom style="medium">
          <color indexed="0"/>
        </bottom>
        <vertical style="thin">
          <color indexed="64"/>
        </vertical>
      </border>
    </dxf>
    <dxf>
      <font>
        <strike val="0"/>
        <outline val="0"/>
        <shadow val="0"/>
        <vertAlign val="baseline"/>
        <sz val="11"/>
        <name val="Calibri"/>
        <scheme val="minor"/>
      </font>
      <alignment horizontal="center" vertical="center" textRotation="0" wrapText="0" indent="0" justifyLastLine="0" shrinkToFit="0" readingOrder="0"/>
      <border diagonalUp="0" diagonalDown="0">
        <left/>
        <right style="thin">
          <color indexed="64"/>
        </right>
        <top style="medium">
          <color indexed="0"/>
        </top>
        <bottom style="medium">
          <color indexed="0"/>
        </bottom>
        <vertical style="thin">
          <color indexed="64"/>
        </vertical>
      </border>
    </dxf>
    <dxf>
      <font>
        <strike val="0"/>
        <outline val="0"/>
        <shadow val="0"/>
        <u val="none"/>
        <vertAlign val="baseline"/>
        <sz val="11"/>
        <color auto="1"/>
        <name val="Calibri"/>
        <scheme val="minor"/>
      </font>
      <alignment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9" tint="0.39997558519241921"/>
        </patternFill>
      </fill>
      <alignment horizontal="center" vertical="center" textRotation="0" wrapText="0" indent="0" justifyLastLine="0" shrinkToFit="0" readingOrder="0"/>
    </dxf>
  </dxfs>
  <tableStyles count="0" defaultTableStyle="TableStyleMedium2" defaultPivotStyle="PivotStyleLight16"/>
  <colors>
    <mruColors>
      <color rgb="FFFF0066"/>
      <color rgb="FFFF33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4.jpeg"/><Relationship Id="rId2" Type="http://schemas.openxmlformats.org/officeDocument/2006/relationships/image" Target="../media/image1.jpg"/><Relationship Id="rId1" Type="http://schemas.openxmlformats.org/officeDocument/2006/relationships/hyperlink" Target="http://www.semrpq.net/" TargetMode="External"/><Relationship Id="rId6" Type="http://schemas.openxmlformats.org/officeDocument/2006/relationships/hyperlink" Target="http://www.cecpa.qc.ca/" TargetMode="External"/><Relationship Id="rId5" Type="http://schemas.openxmlformats.org/officeDocument/2006/relationships/image" Target="../media/image3.jpeg"/><Relationship Id="rId4" Type="http://schemas.openxmlformats.org/officeDocument/2006/relationships/hyperlink" Target="https://www.cepoq.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1</xdr:row>
      <xdr:rowOff>161925</xdr:rowOff>
    </xdr:from>
    <xdr:to>
      <xdr:col>8</xdr:col>
      <xdr:colOff>273050</xdr:colOff>
      <xdr:row>6</xdr:row>
      <xdr:rowOff>172660</xdr:rowOff>
    </xdr:to>
    <xdr:pic>
      <xdr:nvPicPr>
        <xdr:cNvPr id="3" name="Image 2">
          <a:hlinkClick xmlns:r="http://schemas.openxmlformats.org/officeDocument/2006/relationships" r:id="rId1"/>
          <a:extLst>
            <a:ext uri="{FF2B5EF4-FFF2-40B4-BE49-F238E27FC236}">
              <a16:creationId xmlns:a16="http://schemas.microsoft.com/office/drawing/2014/main" id="{4DBB27BE-C8BE-458B-B436-10F8751FE2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4450" y="352425"/>
          <a:ext cx="5054600" cy="963235"/>
        </a:xfrm>
        <a:prstGeom prst="rect">
          <a:avLst/>
        </a:prstGeom>
      </xdr:spPr>
    </xdr:pic>
    <xdr:clientData/>
  </xdr:twoCellAnchor>
  <xdr:twoCellAnchor editAs="oneCell">
    <xdr:from>
      <xdr:col>0</xdr:col>
      <xdr:colOff>171450</xdr:colOff>
      <xdr:row>19</xdr:row>
      <xdr:rowOff>123825</xdr:rowOff>
    </xdr:from>
    <xdr:to>
      <xdr:col>9</xdr:col>
      <xdr:colOff>571500</xdr:colOff>
      <xdr:row>21</xdr:row>
      <xdr:rowOff>71553</xdr:rowOff>
    </xdr:to>
    <xdr:pic>
      <xdr:nvPicPr>
        <xdr:cNvPr id="5" name="Image 4">
          <a:extLst>
            <a:ext uri="{FF2B5EF4-FFF2-40B4-BE49-F238E27FC236}">
              <a16:creationId xmlns:a16="http://schemas.microsoft.com/office/drawing/2014/main" id="{1865CFD7-0DCA-4AF5-8D74-226469DE235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450" y="5610225"/>
          <a:ext cx="7258050" cy="328728"/>
        </a:xfrm>
        <a:prstGeom prst="rect">
          <a:avLst/>
        </a:prstGeom>
      </xdr:spPr>
    </xdr:pic>
    <xdr:clientData/>
  </xdr:twoCellAnchor>
  <xdr:twoCellAnchor editAs="oneCell">
    <xdr:from>
      <xdr:col>4</xdr:col>
      <xdr:colOff>133350</xdr:colOff>
      <xdr:row>25</xdr:row>
      <xdr:rowOff>92329</xdr:rowOff>
    </xdr:from>
    <xdr:to>
      <xdr:col>5</xdr:col>
      <xdr:colOff>695325</xdr:colOff>
      <xdr:row>25</xdr:row>
      <xdr:rowOff>657225</xdr:rowOff>
    </xdr:to>
    <xdr:pic>
      <xdr:nvPicPr>
        <xdr:cNvPr id="7" name="Image 6">
          <a:hlinkClick xmlns:r="http://schemas.openxmlformats.org/officeDocument/2006/relationships" r:id="rId4"/>
          <a:extLst>
            <a:ext uri="{FF2B5EF4-FFF2-40B4-BE49-F238E27FC236}">
              <a16:creationId xmlns:a16="http://schemas.microsoft.com/office/drawing/2014/main" id="{C3B03F60-97DA-4DFF-B95A-758B877FB8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81350" y="6169279"/>
          <a:ext cx="1323975" cy="564896"/>
        </a:xfrm>
        <a:prstGeom prst="rect">
          <a:avLst/>
        </a:prstGeom>
      </xdr:spPr>
    </xdr:pic>
    <xdr:clientData/>
  </xdr:twoCellAnchor>
  <xdr:twoCellAnchor editAs="oneCell">
    <xdr:from>
      <xdr:col>0</xdr:col>
      <xdr:colOff>304801</xdr:colOff>
      <xdr:row>25</xdr:row>
      <xdr:rowOff>57150</xdr:rowOff>
    </xdr:from>
    <xdr:to>
      <xdr:col>2</xdr:col>
      <xdr:colOff>304801</xdr:colOff>
      <xdr:row>25</xdr:row>
      <xdr:rowOff>698153</xdr:rowOff>
    </xdr:to>
    <xdr:pic>
      <xdr:nvPicPr>
        <xdr:cNvPr id="9" name="Image 8">
          <a:hlinkClick xmlns:r="http://schemas.openxmlformats.org/officeDocument/2006/relationships" r:id="rId6"/>
          <a:extLst>
            <a:ext uri="{FF2B5EF4-FFF2-40B4-BE49-F238E27FC236}">
              <a16:creationId xmlns:a16="http://schemas.microsoft.com/office/drawing/2014/main" id="{A6F3CCA2-C34C-45E8-98FC-D3929953EBC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4801" y="5915025"/>
          <a:ext cx="1524000" cy="64100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79569396144277" displayName="Tableau79569396144277" ref="A6:I82" totalsRowShown="0" headerRowDxfId="11" dataDxfId="9" headerRowBorderDxfId="10" headerRowCellStyle="Normal 2">
  <autoFilter ref="A6:I82" xr:uid="{00000000-0009-0000-0100-000001000000}"/>
  <tableColumns count="9">
    <tableColumn id="12" xr3:uid="{00000000-0010-0000-0000-00000C000000}" name="Colonne2" dataDxfId="8"/>
    <tableColumn id="7" xr3:uid="{00000000-0010-0000-0000-000007000000}" name="Troupeaux de 100 brebis pur sang" dataDxfId="7" dataCellStyle="Normal 2"/>
    <tableColumn id="15" xr3:uid="{00000000-0010-0000-0000-00000F000000}" name="Colonne3" dataDxfId="6"/>
    <tableColumn id="2" xr3:uid="{00000000-0010-0000-0000-000002000000}" name="Agneaux" dataDxfId="5"/>
    <tableColumn id="1" xr3:uid="{00000000-0010-0000-0000-000001000000}" name="Agnelles" dataDxfId="4"/>
    <tableColumn id="6" xr3:uid="{00000000-0010-0000-0000-000006000000}" name="Colonne4" dataDxfId="3"/>
    <tableColumn id="10" xr3:uid="{00000000-0010-0000-0000-00000A000000}" name="Agnelles32" dataDxfId="2"/>
    <tableColumn id="3" xr3:uid="{00000000-0010-0000-0000-000003000000}" name="Agnelles4" dataDxfId="1"/>
    <tableColumn id="9" xr3:uid="{00000000-0010-0000-0000-000009000000}" name="Agnelles5" dataDxfId="0">
      <calculatedColumnFormula>Tableau79569396144277[[#This Row],[Colonne4]]*Tableau79569396144277[[#This Row],[Agnelles32]]</calculatedColumnFormula>
    </tableColumn>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workbookViewId="0"/>
  </sheetViews>
  <sheetFormatPr baseColWidth="10" defaultRowHeight="15" x14ac:dyDescent="0.25"/>
  <sheetData>
    <row r="1" spans="1:10" x14ac:dyDescent="0.25">
      <c r="A1" s="508"/>
      <c r="B1" s="508"/>
      <c r="C1" s="508"/>
      <c r="D1" s="508"/>
      <c r="E1" s="508"/>
      <c r="F1" s="508"/>
      <c r="G1" s="508"/>
      <c r="H1" s="508"/>
      <c r="I1" s="508"/>
      <c r="J1" s="508"/>
    </row>
    <row r="2" spans="1:10" x14ac:dyDescent="0.25">
      <c r="A2" s="508"/>
      <c r="B2" s="508"/>
      <c r="C2" s="508"/>
      <c r="D2" s="508"/>
      <c r="E2" s="508"/>
      <c r="F2" s="508"/>
      <c r="G2" s="508"/>
      <c r="H2" s="508"/>
      <c r="I2" s="508"/>
      <c r="J2" s="508"/>
    </row>
    <row r="3" spans="1:10" x14ac:dyDescent="0.25">
      <c r="A3" s="508"/>
      <c r="B3" s="508"/>
      <c r="C3" s="508"/>
      <c r="D3" s="508"/>
      <c r="E3" s="508"/>
      <c r="F3" s="508"/>
      <c r="G3" s="508"/>
      <c r="H3" s="508"/>
      <c r="I3" s="508"/>
      <c r="J3" s="508"/>
    </row>
    <row r="4" spans="1:10" x14ac:dyDescent="0.25">
      <c r="A4" s="508"/>
      <c r="B4" s="508"/>
      <c r="C4" s="508"/>
      <c r="D4" s="508"/>
      <c r="E4" s="508"/>
      <c r="F4" s="508"/>
      <c r="G4" s="508"/>
      <c r="H4" s="508"/>
      <c r="I4" s="508"/>
      <c r="J4" s="508"/>
    </row>
    <row r="5" spans="1:10" x14ac:dyDescent="0.25">
      <c r="A5" s="508"/>
      <c r="B5" s="508"/>
      <c r="C5" s="508"/>
      <c r="D5" s="508"/>
      <c r="E5" s="508"/>
      <c r="F5" s="508"/>
      <c r="G5" s="508"/>
      <c r="H5" s="508"/>
      <c r="I5" s="508"/>
      <c r="J5" s="508"/>
    </row>
    <row r="6" spans="1:10" x14ac:dyDescent="0.25">
      <c r="A6" s="508"/>
      <c r="B6" s="508"/>
      <c r="C6" s="508"/>
      <c r="D6" s="508"/>
      <c r="E6" s="508"/>
      <c r="F6" s="508"/>
      <c r="G6" s="508"/>
      <c r="H6" s="508"/>
      <c r="I6" s="508"/>
      <c r="J6" s="508"/>
    </row>
    <row r="7" spans="1:10" x14ac:dyDescent="0.25">
      <c r="A7" s="508"/>
      <c r="B7" s="508"/>
      <c r="C7" s="508"/>
      <c r="D7" s="508"/>
      <c r="E7" s="508"/>
      <c r="F7" s="508"/>
      <c r="G7" s="508"/>
      <c r="H7" s="508"/>
      <c r="I7" s="508"/>
      <c r="J7" s="508"/>
    </row>
    <row r="8" spans="1:10" x14ac:dyDescent="0.25">
      <c r="A8" s="508"/>
      <c r="B8" s="508"/>
      <c r="C8" s="508"/>
      <c r="D8" s="508"/>
      <c r="E8" s="508"/>
      <c r="F8" s="508"/>
      <c r="G8" s="508"/>
      <c r="H8" s="508"/>
      <c r="I8" s="508"/>
      <c r="J8" s="508"/>
    </row>
    <row r="9" spans="1:10" x14ac:dyDescent="0.25">
      <c r="A9" s="508"/>
      <c r="B9" s="508"/>
      <c r="C9" s="508"/>
      <c r="D9" s="508"/>
      <c r="E9" s="508"/>
      <c r="F9" s="508"/>
      <c r="G9" s="508"/>
      <c r="H9" s="508"/>
      <c r="I9" s="508"/>
      <c r="J9" s="508"/>
    </row>
    <row r="10" spans="1:10" ht="28.5" x14ac:dyDescent="0.25">
      <c r="A10" s="556" t="s">
        <v>280</v>
      </c>
      <c r="B10" s="556"/>
      <c r="C10" s="556"/>
      <c r="D10" s="556"/>
      <c r="E10" s="556"/>
      <c r="F10" s="556"/>
      <c r="G10" s="556"/>
      <c r="H10" s="556"/>
      <c r="I10" s="556"/>
      <c r="J10" s="556"/>
    </row>
    <row r="11" spans="1:10" ht="28.5" x14ac:dyDescent="0.25">
      <c r="A11" s="556" t="s">
        <v>281</v>
      </c>
      <c r="B11" s="556"/>
      <c r="C11" s="556"/>
      <c r="D11" s="556"/>
      <c r="E11" s="556"/>
      <c r="F11" s="556"/>
      <c r="G11" s="556"/>
      <c r="H11" s="556"/>
      <c r="I11" s="556"/>
      <c r="J11" s="556"/>
    </row>
    <row r="12" spans="1:10" ht="28.5" customHeight="1" x14ac:dyDescent="0.25">
      <c r="A12" s="556" t="s">
        <v>284</v>
      </c>
      <c r="B12" s="556"/>
      <c r="C12" s="556"/>
      <c r="D12" s="556"/>
      <c r="E12" s="556"/>
      <c r="F12" s="556"/>
      <c r="G12" s="556"/>
      <c r="H12" s="556"/>
      <c r="I12" s="556"/>
      <c r="J12" s="556"/>
    </row>
    <row r="13" spans="1:10" x14ac:dyDescent="0.25">
      <c r="A13" s="508"/>
      <c r="B13" s="508"/>
      <c r="C13" s="508"/>
      <c r="D13" s="508"/>
      <c r="E13" s="508"/>
      <c r="F13" s="508"/>
      <c r="G13" s="508"/>
      <c r="H13" s="508"/>
      <c r="I13" s="508"/>
      <c r="J13" s="508"/>
    </row>
    <row r="14" spans="1:10" x14ac:dyDescent="0.25">
      <c r="A14" s="508"/>
      <c r="B14" s="508"/>
      <c r="C14" s="508"/>
      <c r="D14" s="508"/>
      <c r="E14" s="508"/>
      <c r="F14" s="508"/>
      <c r="G14" s="508"/>
      <c r="H14" s="508"/>
      <c r="I14" s="508"/>
      <c r="J14" s="508"/>
    </row>
    <row r="15" spans="1:10" ht="59.25" customHeight="1" x14ac:dyDescent="0.25">
      <c r="B15" s="559" t="s">
        <v>282</v>
      </c>
      <c r="C15" s="559"/>
      <c r="D15" s="559"/>
      <c r="E15" s="559"/>
      <c r="F15" s="559"/>
      <c r="G15" s="559"/>
      <c r="H15" s="559"/>
      <c r="I15" s="559"/>
      <c r="J15" s="509"/>
    </row>
    <row r="16" spans="1:10" x14ac:dyDescent="0.25">
      <c r="A16" s="508"/>
      <c r="B16" s="508"/>
      <c r="C16" s="508"/>
      <c r="D16" s="508"/>
      <c r="E16" s="508"/>
      <c r="F16" s="508"/>
      <c r="G16" s="508"/>
      <c r="H16" s="508"/>
      <c r="I16" s="508"/>
      <c r="J16" s="508"/>
    </row>
    <row r="17" spans="1:10" x14ac:dyDescent="0.25">
      <c r="A17" s="508"/>
      <c r="B17" s="508"/>
      <c r="C17" s="508"/>
      <c r="D17" s="508"/>
      <c r="E17" s="508"/>
      <c r="F17" s="508"/>
      <c r="G17" s="508"/>
      <c r="H17" s="508"/>
      <c r="I17" s="508"/>
      <c r="J17" s="508"/>
    </row>
    <row r="18" spans="1:10" x14ac:dyDescent="0.25">
      <c r="A18" s="508"/>
      <c r="B18" s="508"/>
      <c r="C18" s="508"/>
      <c r="D18" s="508"/>
      <c r="E18" s="508"/>
      <c r="F18" s="508"/>
      <c r="G18" s="508"/>
      <c r="H18" s="508"/>
      <c r="I18" s="508"/>
      <c r="J18" s="508"/>
    </row>
    <row r="19" spans="1:10" ht="18.75" x14ac:dyDescent="0.25">
      <c r="A19" s="557" t="s">
        <v>283</v>
      </c>
      <c r="B19" s="557"/>
      <c r="C19" s="557"/>
      <c r="D19" s="557"/>
      <c r="E19" s="557"/>
      <c r="F19" s="557"/>
      <c r="G19" s="557"/>
      <c r="H19" s="557"/>
      <c r="I19" s="557"/>
      <c r="J19" s="557"/>
    </row>
    <row r="20" spans="1:10" x14ac:dyDescent="0.25">
      <c r="A20" s="508"/>
      <c r="B20" s="508"/>
      <c r="C20" s="508"/>
      <c r="D20" s="508"/>
      <c r="E20" s="508"/>
      <c r="F20" s="508"/>
      <c r="G20" s="508"/>
      <c r="H20" s="508"/>
      <c r="I20" s="508"/>
      <c r="J20" s="508"/>
    </row>
    <row r="21" spans="1:10" x14ac:dyDescent="0.25">
      <c r="A21" s="508"/>
      <c r="B21" s="508"/>
      <c r="C21" s="508"/>
      <c r="D21" s="508"/>
      <c r="E21" s="508"/>
      <c r="F21" s="508"/>
      <c r="G21" s="508"/>
      <c r="H21" s="508"/>
      <c r="I21" s="508"/>
      <c r="J21" s="508"/>
    </row>
    <row r="22" spans="1:10" x14ac:dyDescent="0.25">
      <c r="A22" s="508"/>
      <c r="B22" s="508"/>
      <c r="C22" s="508"/>
      <c r="D22" s="508"/>
      <c r="E22" s="508"/>
      <c r="F22" s="508"/>
      <c r="G22" s="508"/>
      <c r="H22" s="508"/>
      <c r="I22" s="508"/>
      <c r="J22" s="508"/>
    </row>
    <row r="23" spans="1:10" x14ac:dyDescent="0.25">
      <c r="A23" s="508"/>
      <c r="B23" s="508"/>
      <c r="C23" s="508"/>
      <c r="D23" s="508"/>
      <c r="E23" s="508"/>
      <c r="F23" s="508"/>
      <c r="G23" s="508"/>
      <c r="H23" s="508"/>
      <c r="I23" s="508"/>
      <c r="J23" s="508"/>
    </row>
    <row r="24" spans="1:10" x14ac:dyDescent="0.25">
      <c r="A24" s="508"/>
      <c r="B24" s="508"/>
      <c r="C24" s="508"/>
      <c r="D24" s="508"/>
      <c r="E24" s="508"/>
      <c r="F24" s="508"/>
      <c r="G24" s="508"/>
      <c r="H24" s="508"/>
      <c r="I24" s="508"/>
      <c r="J24" s="508"/>
    </row>
    <row r="25" spans="1:10" ht="18.75" x14ac:dyDescent="0.25">
      <c r="A25" s="557" t="s">
        <v>285</v>
      </c>
      <c r="B25" s="557"/>
      <c r="C25" s="557"/>
      <c r="D25" s="557"/>
      <c r="E25" s="557"/>
      <c r="F25" s="557"/>
      <c r="G25" s="557"/>
      <c r="H25" s="557"/>
      <c r="I25" s="557"/>
      <c r="J25" s="557"/>
    </row>
    <row r="26" spans="1:10" ht="60" customHeight="1" x14ac:dyDescent="0.25">
      <c r="A26" s="508"/>
      <c r="B26" s="508"/>
      <c r="C26" s="508"/>
      <c r="D26" s="508"/>
      <c r="E26" s="508"/>
      <c r="F26" s="508"/>
      <c r="G26" s="508"/>
      <c r="H26" s="508"/>
      <c r="I26" s="560" t="s">
        <v>286</v>
      </c>
      <c r="J26" s="560"/>
    </row>
    <row r="27" spans="1:10" x14ac:dyDescent="0.25">
      <c r="A27" s="508"/>
      <c r="B27" s="508"/>
      <c r="C27" s="508"/>
      <c r="D27" s="508"/>
      <c r="E27" s="508"/>
      <c r="F27" s="508"/>
      <c r="G27" s="508"/>
      <c r="H27" s="508"/>
      <c r="I27" s="508"/>
      <c r="J27" s="508"/>
    </row>
    <row r="28" spans="1:10" x14ac:dyDescent="0.25">
      <c r="A28" s="558" t="s">
        <v>287</v>
      </c>
      <c r="B28" s="558"/>
      <c r="C28" s="558"/>
      <c r="D28" s="558"/>
      <c r="E28" s="558"/>
      <c r="F28" s="558"/>
      <c r="G28" s="558"/>
      <c r="H28" s="558"/>
      <c r="I28" s="558"/>
      <c r="J28" s="558"/>
    </row>
  </sheetData>
  <sheetProtection algorithmName="SHA-512" hashValue="5mDfHIfdhCa/3Bqoe5sV6hb91K7m6WulPpDMS7VGyFJ7ZrJjUKd07nGRrngfXKxjEywjAPBNk8SjZTdPJGV03w==" saltValue="nzMmyVEw6L7/YKXto6mlCA==" spinCount="100000" sheet="1" objects="1" scenarios="1"/>
  <mergeCells count="8">
    <mergeCell ref="A10:J10"/>
    <mergeCell ref="A11:J11"/>
    <mergeCell ref="A19:J19"/>
    <mergeCell ref="A28:J28"/>
    <mergeCell ref="B15:I15"/>
    <mergeCell ref="A12:J12"/>
    <mergeCell ref="A25:J25"/>
    <mergeCell ref="I26:J26"/>
  </mergeCells>
  <printOptions horizontalCentered="1"/>
  <pageMargins left="0.70866141732283472" right="0.70866141732283472" top="0.55118110236220474" bottom="0.35433070866141736"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28"/>
  <sheetViews>
    <sheetView workbookViewId="0">
      <selection sqref="A1:H2"/>
    </sheetView>
  </sheetViews>
  <sheetFormatPr baseColWidth="10" defaultRowHeight="15" x14ac:dyDescent="0.25"/>
  <cols>
    <col min="1" max="1" width="3.28515625" style="494" customWidth="1"/>
    <col min="2" max="7" width="11.42578125" style="494"/>
    <col min="8" max="8" width="27.85546875" style="494" customWidth="1"/>
    <col min="9" max="16384" width="11.42578125" style="1"/>
  </cols>
  <sheetData>
    <row r="1" spans="1:8" ht="21" customHeight="1" x14ac:dyDescent="0.25">
      <c r="A1" s="562" t="s">
        <v>271</v>
      </c>
      <c r="B1" s="562"/>
      <c r="C1" s="562"/>
      <c r="D1" s="562"/>
      <c r="E1" s="562"/>
      <c r="F1" s="562"/>
      <c r="G1" s="562"/>
      <c r="H1" s="562"/>
    </row>
    <row r="2" spans="1:8" ht="19.5" customHeight="1" x14ac:dyDescent="0.25">
      <c r="A2" s="562"/>
      <c r="B2" s="562"/>
      <c r="C2" s="562"/>
      <c r="D2" s="562"/>
      <c r="E2" s="562"/>
      <c r="F2" s="562"/>
      <c r="G2" s="562"/>
      <c r="H2" s="562"/>
    </row>
    <row r="3" spans="1:8" ht="15" customHeight="1" x14ac:dyDescent="0.25">
      <c r="A3" s="499"/>
      <c r="B3" s="499"/>
      <c r="C3" s="499"/>
      <c r="D3" s="499"/>
      <c r="E3" s="499"/>
      <c r="F3" s="499"/>
      <c r="G3" s="499"/>
      <c r="H3" s="499"/>
    </row>
    <row r="4" spans="1:8" ht="75" customHeight="1" x14ac:dyDescent="0.25">
      <c r="A4" s="563" t="s">
        <v>277</v>
      </c>
      <c r="B4" s="563"/>
      <c r="C4" s="563"/>
      <c r="D4" s="563"/>
      <c r="E4" s="563"/>
      <c r="F4" s="563"/>
      <c r="G4" s="563"/>
      <c r="H4" s="563"/>
    </row>
    <row r="5" spans="1:8" ht="12" customHeight="1" x14ac:dyDescent="0.25"/>
    <row r="6" spans="1:8" ht="15.75" x14ac:dyDescent="0.25">
      <c r="A6" s="495" t="s">
        <v>239</v>
      </c>
      <c r="B6" s="495"/>
      <c r="C6" s="495"/>
      <c r="D6" s="495"/>
      <c r="E6" s="495"/>
      <c r="F6" s="495"/>
      <c r="G6" s="495"/>
      <c r="H6" s="495"/>
    </row>
    <row r="7" spans="1:8" ht="45" customHeight="1" x14ac:dyDescent="0.25">
      <c r="A7" s="494" t="s">
        <v>238</v>
      </c>
      <c r="B7" s="561" t="s">
        <v>252</v>
      </c>
      <c r="C7" s="561"/>
      <c r="D7" s="561"/>
      <c r="E7" s="561"/>
      <c r="F7" s="561"/>
      <c r="G7" s="561"/>
      <c r="H7" s="561"/>
    </row>
    <row r="8" spans="1:8" ht="7.5" customHeight="1" x14ac:dyDescent="0.25"/>
    <row r="9" spans="1:8" ht="77.25" customHeight="1" x14ac:dyDescent="0.25">
      <c r="A9" s="494" t="s">
        <v>242</v>
      </c>
      <c r="B9" s="561" t="s">
        <v>253</v>
      </c>
      <c r="C9" s="561"/>
      <c r="D9" s="561"/>
      <c r="E9" s="561"/>
      <c r="F9" s="561"/>
      <c r="G9" s="561"/>
      <c r="H9" s="561"/>
    </row>
    <row r="10" spans="1:8" ht="7.5" customHeight="1" x14ac:dyDescent="0.25">
      <c r="B10" s="498"/>
      <c r="C10" s="498"/>
      <c r="D10" s="498"/>
      <c r="E10" s="498"/>
      <c r="F10" s="498"/>
      <c r="G10" s="498"/>
      <c r="H10" s="498"/>
    </row>
    <row r="11" spans="1:8" ht="29.25" customHeight="1" x14ac:dyDescent="0.25">
      <c r="A11" s="494" t="s">
        <v>244</v>
      </c>
      <c r="B11" s="561" t="s">
        <v>261</v>
      </c>
      <c r="C11" s="561"/>
      <c r="D11" s="561"/>
      <c r="E11" s="561"/>
      <c r="F11" s="561"/>
      <c r="G11" s="561"/>
      <c r="H11" s="561"/>
    </row>
    <row r="12" spans="1:8" ht="7.5" customHeight="1" x14ac:dyDescent="0.25">
      <c r="B12" s="498"/>
      <c r="C12" s="498"/>
      <c r="D12" s="498"/>
      <c r="E12" s="498"/>
      <c r="F12" s="498"/>
      <c r="G12" s="498"/>
      <c r="H12" s="498"/>
    </row>
    <row r="13" spans="1:8" ht="44.25" customHeight="1" x14ac:dyDescent="0.25">
      <c r="A13" s="494" t="s">
        <v>245</v>
      </c>
      <c r="B13" s="561" t="s">
        <v>265</v>
      </c>
      <c r="C13" s="561"/>
      <c r="D13" s="561"/>
      <c r="E13" s="561"/>
      <c r="F13" s="561"/>
      <c r="G13" s="561"/>
      <c r="H13" s="561"/>
    </row>
    <row r="14" spans="1:8" ht="9" customHeight="1" x14ac:dyDescent="0.25"/>
    <row r="15" spans="1:8" ht="15.75" x14ac:dyDescent="0.25">
      <c r="A15" s="496" t="s">
        <v>240</v>
      </c>
      <c r="B15" s="496"/>
      <c r="C15" s="496"/>
      <c r="D15" s="496"/>
      <c r="E15" s="496"/>
      <c r="F15" s="496"/>
      <c r="G15" s="496"/>
      <c r="H15" s="496"/>
    </row>
    <row r="16" spans="1:8" ht="45" customHeight="1" x14ac:dyDescent="0.25">
      <c r="A16" s="494" t="s">
        <v>246</v>
      </c>
      <c r="B16" s="561" t="s">
        <v>272</v>
      </c>
      <c r="C16" s="561"/>
      <c r="D16" s="561"/>
      <c r="E16" s="561"/>
      <c r="F16" s="561"/>
      <c r="G16" s="561"/>
      <c r="H16" s="561"/>
    </row>
    <row r="17" spans="1:8" ht="7.5" customHeight="1" x14ac:dyDescent="0.25"/>
    <row r="18" spans="1:8" ht="87.75" customHeight="1" x14ac:dyDescent="0.25">
      <c r="A18" s="494" t="s">
        <v>249</v>
      </c>
      <c r="B18" s="561" t="s">
        <v>268</v>
      </c>
      <c r="C18" s="561"/>
      <c r="D18" s="561"/>
      <c r="E18" s="561"/>
      <c r="F18" s="561"/>
      <c r="G18" s="561"/>
      <c r="H18" s="561"/>
    </row>
    <row r="19" spans="1:8" ht="10.5" customHeight="1" x14ac:dyDescent="0.25"/>
    <row r="20" spans="1:8" ht="15.75" x14ac:dyDescent="0.25">
      <c r="A20" s="497" t="s">
        <v>241</v>
      </c>
      <c r="B20" s="497"/>
      <c r="C20" s="497"/>
      <c r="D20" s="497"/>
      <c r="E20" s="497"/>
      <c r="F20" s="497"/>
      <c r="G20" s="497"/>
      <c r="H20" s="497"/>
    </row>
    <row r="21" spans="1:8" x14ac:dyDescent="0.25">
      <c r="A21" s="494" t="s">
        <v>250</v>
      </c>
      <c r="B21" s="494" t="s">
        <v>251</v>
      </c>
    </row>
    <row r="22" spans="1:8" ht="7.5" customHeight="1" x14ac:dyDescent="0.25"/>
    <row r="23" spans="1:8" ht="45" customHeight="1" x14ac:dyDescent="0.25">
      <c r="A23" s="494" t="s">
        <v>262</v>
      </c>
      <c r="B23" s="561" t="s">
        <v>247</v>
      </c>
      <c r="C23" s="561"/>
      <c r="D23" s="561"/>
      <c r="E23" s="561"/>
      <c r="F23" s="561"/>
      <c r="G23" s="561"/>
      <c r="H23" s="561"/>
    </row>
    <row r="24" spans="1:8" ht="5.25" customHeight="1" x14ac:dyDescent="0.25"/>
    <row r="25" spans="1:8" ht="43.5" customHeight="1" x14ac:dyDescent="0.25">
      <c r="A25" s="494" t="s">
        <v>264</v>
      </c>
      <c r="B25" s="561" t="s">
        <v>248</v>
      </c>
      <c r="C25" s="561"/>
      <c r="D25" s="561"/>
      <c r="E25" s="561"/>
      <c r="F25" s="561"/>
      <c r="G25" s="561"/>
      <c r="H25" s="561"/>
    </row>
    <row r="26" spans="1:8" ht="12" customHeight="1" x14ac:dyDescent="0.25"/>
    <row r="27" spans="1:8" ht="15.75" x14ac:dyDescent="0.25">
      <c r="A27" s="500" t="s">
        <v>266</v>
      </c>
      <c r="B27" s="501"/>
      <c r="C27" s="501"/>
      <c r="D27" s="501"/>
      <c r="E27" s="501"/>
      <c r="F27" s="501"/>
      <c r="G27" s="501"/>
      <c r="H27" s="501"/>
    </row>
    <row r="28" spans="1:8" ht="45" customHeight="1" x14ac:dyDescent="0.25">
      <c r="A28" s="561" t="s">
        <v>267</v>
      </c>
      <c r="B28" s="561"/>
      <c r="C28" s="561"/>
      <c r="D28" s="561"/>
      <c r="E28" s="561"/>
      <c r="F28" s="561"/>
      <c r="G28" s="561"/>
      <c r="H28" s="561"/>
    </row>
  </sheetData>
  <sheetProtection algorithmName="SHA-512" hashValue="9EgDowgcp9Gt2rrdQDK9ces5HlNLdUzR/aFRkPSAWZSTGm9MML+oX5K3u4qa/K2uxwk1Nv3ync8q0pdzoZnCgQ==" saltValue="0gGq6PFwKzR0eHeV6ipVdw==" spinCount="100000" sheet="1" objects="1" scenarios="1"/>
  <mergeCells count="11">
    <mergeCell ref="B16:H16"/>
    <mergeCell ref="B18:H18"/>
    <mergeCell ref="B23:H23"/>
    <mergeCell ref="B25:H25"/>
    <mergeCell ref="A28:H28"/>
    <mergeCell ref="B13:H13"/>
    <mergeCell ref="A1:H2"/>
    <mergeCell ref="A4:H4"/>
    <mergeCell ref="B7:H7"/>
    <mergeCell ref="B9:H9"/>
    <mergeCell ref="B11:H11"/>
  </mergeCells>
  <printOptions horizontalCentered="1"/>
  <pageMargins left="0.31496062992125984" right="0.31496062992125984" top="0.35433070866141736" bottom="0.35433070866141736" header="0.31496062992125984" footer="0.31496062992125984"/>
  <pageSetup orientation="portrait" r:id="rId1"/>
  <headerFooter>
    <oddFooter>&amp;C&amp;9&amp;F&amp;R&amp;9Copyright © 2018   |   SEMRPQ</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P144"/>
  <sheetViews>
    <sheetView zoomScale="80" zoomScaleNormal="80" workbookViewId="0">
      <selection activeCell="A11" sqref="A11"/>
    </sheetView>
  </sheetViews>
  <sheetFormatPr baseColWidth="10" defaultRowHeight="15" x14ac:dyDescent="0.25"/>
  <cols>
    <col min="1" max="1" width="70.140625" style="271" customWidth="1"/>
    <col min="2" max="2" width="12.5703125" style="271" customWidth="1"/>
    <col min="3" max="3" width="19.140625" style="372" customWidth="1"/>
    <col min="4" max="4" width="11.42578125" style="271"/>
    <col min="5" max="5" width="19.28515625" style="372" customWidth="1"/>
    <col min="6" max="6" width="8.7109375" style="373" customWidth="1"/>
    <col min="7" max="7" width="72" style="370" customWidth="1"/>
    <col min="8" max="8" width="91.5703125" style="370" customWidth="1"/>
    <col min="9" max="9" width="5.85546875" style="271" customWidth="1"/>
    <col min="10" max="12" width="11.42578125" style="271" hidden="1" customWidth="1"/>
    <col min="13" max="16384" width="11.42578125" style="271"/>
  </cols>
  <sheetData>
    <row r="1" spans="1:15" ht="21" x14ac:dyDescent="0.25">
      <c r="A1" s="569" t="s">
        <v>32</v>
      </c>
      <c r="B1" s="574" t="s">
        <v>31</v>
      </c>
      <c r="C1" s="575"/>
      <c r="D1" s="586" t="s">
        <v>270</v>
      </c>
      <c r="E1" s="587"/>
      <c r="F1" s="587"/>
      <c r="G1" s="588"/>
      <c r="H1" s="593" t="s">
        <v>290</v>
      </c>
      <c r="I1" s="269"/>
      <c r="J1" s="413"/>
      <c r="K1" s="413"/>
      <c r="L1" s="414"/>
    </row>
    <row r="2" spans="1:15" x14ac:dyDescent="0.25">
      <c r="A2" s="570"/>
      <c r="B2" s="582" t="s">
        <v>29</v>
      </c>
      <c r="C2" s="584" t="s">
        <v>26</v>
      </c>
      <c r="D2" s="576" t="s">
        <v>27</v>
      </c>
      <c r="E2" s="577"/>
      <c r="F2" s="578" t="s">
        <v>30</v>
      </c>
      <c r="G2" s="580" t="s">
        <v>28</v>
      </c>
      <c r="H2" s="594"/>
      <c r="I2" s="269"/>
      <c r="J2" s="413"/>
      <c r="K2" s="413"/>
      <c r="L2" s="414"/>
    </row>
    <row r="3" spans="1:15" ht="15.75" thickBot="1" x14ac:dyDescent="0.3">
      <c r="A3" s="571"/>
      <c r="B3" s="583"/>
      <c r="C3" s="585"/>
      <c r="D3" s="272" t="s">
        <v>29</v>
      </c>
      <c r="E3" s="273" t="s">
        <v>26</v>
      </c>
      <c r="F3" s="579"/>
      <c r="G3" s="581"/>
      <c r="H3" s="594"/>
      <c r="I3" s="269"/>
      <c r="J3" s="413"/>
      <c r="K3" s="413"/>
      <c r="L3" s="414"/>
    </row>
    <row r="4" spans="1:15" ht="19.5" thickTop="1" x14ac:dyDescent="0.25">
      <c r="A4" s="274" t="s">
        <v>33</v>
      </c>
      <c r="B4" s="275"/>
      <c r="C4" s="276"/>
      <c r="D4" s="277"/>
      <c r="E4" s="276"/>
      <c r="F4" s="278"/>
      <c r="G4" s="279"/>
      <c r="H4" s="511"/>
      <c r="I4" s="269"/>
      <c r="J4" s="413"/>
      <c r="K4" s="413"/>
      <c r="L4" s="414"/>
    </row>
    <row r="5" spans="1:15" x14ac:dyDescent="0.25">
      <c r="A5" s="280" t="s">
        <v>33</v>
      </c>
      <c r="B5" s="14">
        <v>100</v>
      </c>
      <c r="C5" s="282" t="s">
        <v>34</v>
      </c>
      <c r="D5" s="381">
        <v>100</v>
      </c>
      <c r="E5" s="382" t="str">
        <f>C5</f>
        <v>brebis</v>
      </c>
      <c r="F5" s="285" t="s">
        <v>105</v>
      </c>
      <c r="G5" s="286"/>
      <c r="H5" s="512"/>
      <c r="I5" s="269"/>
      <c r="J5" s="413"/>
      <c r="K5" s="413"/>
      <c r="L5" s="414"/>
    </row>
    <row r="6" spans="1:15" ht="30" x14ac:dyDescent="0.25">
      <c r="A6" s="280" t="s">
        <v>45</v>
      </c>
      <c r="B6" s="14">
        <v>1.61</v>
      </c>
      <c r="C6" s="287" t="s">
        <v>236</v>
      </c>
      <c r="D6" s="381">
        <v>1.61</v>
      </c>
      <c r="E6" s="383" t="str">
        <f>C6</f>
        <v>agneaux sevrés/brebis/an</v>
      </c>
      <c r="F6" s="285" t="s">
        <v>105</v>
      </c>
      <c r="G6" s="288" t="s">
        <v>54</v>
      </c>
      <c r="H6" s="513"/>
      <c r="I6" s="269"/>
      <c r="J6" s="413"/>
      <c r="K6" s="413"/>
      <c r="L6" s="414"/>
    </row>
    <row r="7" spans="1:15" ht="30" x14ac:dyDescent="0.25">
      <c r="A7" s="280" t="s">
        <v>156</v>
      </c>
      <c r="B7" s="289">
        <v>260</v>
      </c>
      <c r="C7" s="382" t="s">
        <v>101</v>
      </c>
      <c r="D7" s="381">
        <v>260</v>
      </c>
      <c r="E7" s="382" t="str">
        <f>C7</f>
        <v xml:space="preserve">$/tête  </v>
      </c>
      <c r="F7" s="285" t="s">
        <v>106</v>
      </c>
      <c r="G7" s="288" t="s">
        <v>157</v>
      </c>
      <c r="H7" s="513"/>
      <c r="I7" s="269"/>
      <c r="J7" s="413"/>
      <c r="K7" s="413"/>
      <c r="L7" s="414"/>
    </row>
    <row r="8" spans="1:15" ht="18.75" x14ac:dyDescent="0.25">
      <c r="A8" s="291" t="s">
        <v>227</v>
      </c>
      <c r="B8" s="292"/>
      <c r="C8" s="293"/>
      <c r="D8" s="294"/>
      <c r="E8" s="293"/>
      <c r="F8" s="295"/>
      <c r="G8" s="296"/>
      <c r="H8" s="511"/>
      <c r="I8" s="269"/>
      <c r="J8" s="413"/>
      <c r="K8" s="413"/>
      <c r="L8" s="414"/>
    </row>
    <row r="9" spans="1:15" x14ac:dyDescent="0.25">
      <c r="A9" s="280" t="s">
        <v>46</v>
      </c>
      <c r="B9" s="17">
        <v>518</v>
      </c>
      <c r="C9" s="282" t="s">
        <v>24</v>
      </c>
      <c r="D9" s="384">
        <v>518</v>
      </c>
      <c r="E9" s="382" t="str">
        <f t="shared" ref="E9:E16" si="0">C9</f>
        <v>$/tête</v>
      </c>
      <c r="F9" s="285" t="s">
        <v>105</v>
      </c>
      <c r="G9" s="564" t="s">
        <v>55</v>
      </c>
      <c r="H9" s="595" t="s">
        <v>291</v>
      </c>
      <c r="I9" s="269"/>
      <c r="J9" s="413"/>
      <c r="K9" s="413"/>
      <c r="L9" s="414"/>
    </row>
    <row r="10" spans="1:15" x14ac:dyDescent="0.25">
      <c r="A10" s="280" t="s">
        <v>47</v>
      </c>
      <c r="B10" s="17">
        <v>976</v>
      </c>
      <c r="C10" s="282" t="s">
        <v>24</v>
      </c>
      <c r="D10" s="384">
        <v>976</v>
      </c>
      <c r="E10" s="382" t="str">
        <f t="shared" si="0"/>
        <v>$/tête</v>
      </c>
      <c r="F10" s="285" t="s">
        <v>105</v>
      </c>
      <c r="G10" s="566"/>
      <c r="H10" s="595"/>
      <c r="I10" s="269"/>
      <c r="J10" s="413"/>
      <c r="K10" s="413"/>
      <c r="L10" s="414"/>
    </row>
    <row r="11" spans="1:15" x14ac:dyDescent="0.25">
      <c r="A11" s="280" t="s">
        <v>53</v>
      </c>
      <c r="B11" s="17">
        <v>294</v>
      </c>
      <c r="C11" s="282" t="s">
        <v>24</v>
      </c>
      <c r="D11" s="384">
        <v>294</v>
      </c>
      <c r="E11" s="382" t="str">
        <f t="shared" si="0"/>
        <v>$/tête</v>
      </c>
      <c r="F11" s="285" t="s">
        <v>105</v>
      </c>
      <c r="G11" s="299" t="s">
        <v>151</v>
      </c>
      <c r="H11" s="595"/>
      <c r="I11" s="300"/>
      <c r="J11" s="301"/>
      <c r="K11" s="297"/>
      <c r="L11" s="298"/>
    </row>
    <row r="12" spans="1:15" x14ac:dyDescent="0.25">
      <c r="A12" s="280" t="s">
        <v>48</v>
      </c>
      <c r="B12" s="17">
        <v>753</v>
      </c>
      <c r="C12" s="282" t="s">
        <v>24</v>
      </c>
      <c r="D12" s="384">
        <v>753</v>
      </c>
      <c r="E12" s="382" t="str">
        <f t="shared" si="0"/>
        <v>$/tête</v>
      </c>
      <c r="F12" s="285" t="s">
        <v>105</v>
      </c>
      <c r="G12" s="299" t="s">
        <v>151</v>
      </c>
      <c r="H12" s="595"/>
      <c r="I12" s="300"/>
      <c r="J12" s="297"/>
      <c r="K12" s="297"/>
      <c r="L12" s="298"/>
    </row>
    <row r="13" spans="1:15" x14ac:dyDescent="0.25">
      <c r="A13" s="302" t="s">
        <v>49</v>
      </c>
      <c r="B13" s="14">
        <v>4</v>
      </c>
      <c r="C13" s="282" t="s">
        <v>61</v>
      </c>
      <c r="D13" s="381">
        <v>4</v>
      </c>
      <c r="E13" s="382" t="str">
        <f t="shared" si="0"/>
        <v>ans</v>
      </c>
      <c r="F13" s="285" t="s">
        <v>105</v>
      </c>
      <c r="G13" s="564" t="s">
        <v>56</v>
      </c>
      <c r="H13" s="595"/>
      <c r="I13" s="269"/>
      <c r="J13" s="270"/>
      <c r="K13" s="270"/>
    </row>
    <row r="14" spans="1:15" x14ac:dyDescent="0.25">
      <c r="A14" s="302" t="s">
        <v>50</v>
      </c>
      <c r="B14" s="14">
        <v>2.5</v>
      </c>
      <c r="C14" s="282" t="s">
        <v>61</v>
      </c>
      <c r="D14" s="381">
        <v>2.5</v>
      </c>
      <c r="E14" s="382" t="str">
        <f t="shared" si="0"/>
        <v>ans</v>
      </c>
      <c r="F14" s="285" t="s">
        <v>105</v>
      </c>
      <c r="G14" s="566"/>
      <c r="H14" s="595"/>
      <c r="I14" s="269"/>
      <c r="J14" s="270"/>
      <c r="K14" s="270"/>
    </row>
    <row r="15" spans="1:15" x14ac:dyDescent="0.25">
      <c r="A15" s="302" t="s">
        <v>51</v>
      </c>
      <c r="B15" s="14">
        <v>5.5</v>
      </c>
      <c r="C15" s="282" t="s">
        <v>61</v>
      </c>
      <c r="D15" s="381">
        <v>5.5</v>
      </c>
      <c r="E15" s="382" t="str">
        <f t="shared" si="0"/>
        <v>ans</v>
      </c>
      <c r="F15" s="285" t="s">
        <v>105</v>
      </c>
      <c r="G15" s="572" t="s">
        <v>189</v>
      </c>
      <c r="H15" s="595"/>
      <c r="I15" s="300"/>
      <c r="J15" s="297"/>
      <c r="K15" s="298"/>
      <c r="L15" s="298"/>
      <c r="M15" s="298"/>
      <c r="N15" s="298"/>
      <c r="O15" s="298"/>
    </row>
    <row r="16" spans="1:15" x14ac:dyDescent="0.25">
      <c r="A16" s="302" t="s">
        <v>52</v>
      </c>
      <c r="B16" s="14">
        <v>5</v>
      </c>
      <c r="C16" s="282" t="s">
        <v>61</v>
      </c>
      <c r="D16" s="381">
        <v>5</v>
      </c>
      <c r="E16" s="382" t="str">
        <f t="shared" si="0"/>
        <v>ans</v>
      </c>
      <c r="F16" s="285" t="s">
        <v>105</v>
      </c>
      <c r="G16" s="573"/>
      <c r="H16" s="595"/>
      <c r="I16" s="300"/>
      <c r="J16" s="297"/>
      <c r="K16" s="297"/>
      <c r="L16" s="298"/>
      <c r="M16" s="298"/>
      <c r="N16" s="298"/>
      <c r="O16" s="298"/>
    </row>
    <row r="17" spans="1:16" x14ac:dyDescent="0.25">
      <c r="A17" s="280" t="s">
        <v>62</v>
      </c>
      <c r="B17" s="386">
        <f>((B9/B13)-(B11/B15))/B6</f>
        <v>47.233201581027664</v>
      </c>
      <c r="C17" s="382" t="s">
        <v>13</v>
      </c>
      <c r="D17" s="384">
        <f>((D9/D13)-(D11/D15))/D6</f>
        <v>47.233201581027664</v>
      </c>
      <c r="E17" s="382" t="s">
        <v>13</v>
      </c>
      <c r="F17" s="285" t="s">
        <v>44</v>
      </c>
      <c r="G17" s="303" t="s">
        <v>209</v>
      </c>
      <c r="H17" s="595"/>
      <c r="I17" s="269"/>
      <c r="J17" s="297"/>
      <c r="K17" s="297"/>
      <c r="L17" s="298"/>
      <c r="M17" s="298"/>
    </row>
    <row r="18" spans="1:16" x14ac:dyDescent="0.25">
      <c r="A18" s="280" t="s">
        <v>63</v>
      </c>
      <c r="B18" s="387">
        <f>((B10/B14)-(B12/B16))/(B6*20)</f>
        <v>7.4472049689440984</v>
      </c>
      <c r="C18" s="382" t="s">
        <v>13</v>
      </c>
      <c r="D18" s="385">
        <f>((D10/D14)-(D12/D16))/(D6*20)</f>
        <v>7.4472049689440984</v>
      </c>
      <c r="E18" s="382" t="s">
        <v>13</v>
      </c>
      <c r="F18" s="285" t="s">
        <v>44</v>
      </c>
      <c r="G18" s="303" t="s">
        <v>202</v>
      </c>
      <c r="H18" s="595"/>
      <c r="I18" s="269"/>
      <c r="J18" s="297"/>
      <c r="K18" s="297"/>
      <c r="L18" s="298"/>
      <c r="M18" s="298"/>
    </row>
    <row r="19" spans="1:16" ht="18.75" x14ac:dyDescent="0.25">
      <c r="A19" s="291" t="s">
        <v>17</v>
      </c>
      <c r="B19" s="292"/>
      <c r="C19" s="293"/>
      <c r="D19" s="294"/>
      <c r="E19" s="293"/>
      <c r="F19" s="295"/>
      <c r="G19" s="296"/>
      <c r="H19" s="511"/>
      <c r="I19" s="269"/>
      <c r="J19" s="270"/>
      <c r="K19" s="270"/>
    </row>
    <row r="20" spans="1:16" ht="15" customHeight="1" x14ac:dyDescent="0.25">
      <c r="A20" s="280" t="s">
        <v>72</v>
      </c>
      <c r="B20" s="388">
        <f>3/B6</f>
        <v>1.8633540372670807</v>
      </c>
      <c r="C20" s="382" t="s">
        <v>102</v>
      </c>
      <c r="D20" s="390">
        <f>3/D6</f>
        <v>1.8633540372670807</v>
      </c>
      <c r="E20" s="382" t="s">
        <v>102</v>
      </c>
      <c r="F20" s="285" t="s">
        <v>106</v>
      </c>
      <c r="G20" s="564" t="s">
        <v>56</v>
      </c>
      <c r="H20" s="595" t="s">
        <v>292</v>
      </c>
      <c r="I20" s="269"/>
      <c r="J20" s="270"/>
      <c r="K20" s="270"/>
    </row>
    <row r="21" spans="1:16" x14ac:dyDescent="0.25">
      <c r="A21" s="280" t="s">
        <v>123</v>
      </c>
      <c r="B21" s="362">
        <v>4</v>
      </c>
      <c r="C21" s="382" t="s">
        <v>102</v>
      </c>
      <c r="D21" s="381">
        <v>4</v>
      </c>
      <c r="E21" s="382" t="s">
        <v>102</v>
      </c>
      <c r="F21" s="285" t="s">
        <v>106</v>
      </c>
      <c r="G21" s="565"/>
      <c r="H21" s="595"/>
      <c r="I21" s="269"/>
      <c r="J21" s="270"/>
      <c r="K21" s="270"/>
    </row>
    <row r="22" spans="1:16" ht="17.25" x14ac:dyDescent="0.25">
      <c r="A22" s="280" t="s">
        <v>124</v>
      </c>
      <c r="B22" s="362">
        <v>15</v>
      </c>
      <c r="C22" s="382" t="s">
        <v>102</v>
      </c>
      <c r="D22" s="381">
        <v>15</v>
      </c>
      <c r="E22" s="382" t="s">
        <v>102</v>
      </c>
      <c r="F22" s="285" t="s">
        <v>106</v>
      </c>
      <c r="G22" s="565"/>
      <c r="H22" s="595"/>
      <c r="I22" s="269"/>
      <c r="J22" s="270"/>
      <c r="K22" s="270"/>
    </row>
    <row r="23" spans="1:16" x14ac:dyDescent="0.25">
      <c r="A23" s="280" t="s">
        <v>119</v>
      </c>
      <c r="B23" s="362">
        <v>5</v>
      </c>
      <c r="C23" s="382" t="s">
        <v>102</v>
      </c>
      <c r="D23" s="381">
        <v>5</v>
      </c>
      <c r="E23" s="382" t="s">
        <v>102</v>
      </c>
      <c r="F23" s="285" t="s">
        <v>106</v>
      </c>
      <c r="G23" s="565"/>
      <c r="H23" s="595"/>
      <c r="I23" s="269"/>
      <c r="J23" s="270"/>
      <c r="K23" s="270"/>
    </row>
    <row r="24" spans="1:16" ht="17.25" x14ac:dyDescent="0.25">
      <c r="A24" s="280" t="s">
        <v>125</v>
      </c>
      <c r="B24" s="362">
        <v>8</v>
      </c>
      <c r="C24" s="382" t="s">
        <v>102</v>
      </c>
      <c r="D24" s="381">
        <v>8</v>
      </c>
      <c r="E24" s="382" t="s">
        <v>102</v>
      </c>
      <c r="F24" s="285" t="s">
        <v>106</v>
      </c>
      <c r="G24" s="565"/>
      <c r="H24" s="595"/>
      <c r="I24" s="269"/>
      <c r="J24" s="270"/>
      <c r="K24" s="270"/>
    </row>
    <row r="25" spans="1:16" x14ac:dyDescent="0.25">
      <c r="A25" s="280" t="s">
        <v>122</v>
      </c>
      <c r="B25" s="362">
        <v>10</v>
      </c>
      <c r="C25" s="382" t="s">
        <v>102</v>
      </c>
      <c r="D25" s="381">
        <v>10</v>
      </c>
      <c r="E25" s="382" t="s">
        <v>102</v>
      </c>
      <c r="F25" s="285" t="s">
        <v>106</v>
      </c>
      <c r="G25" s="565"/>
      <c r="H25" s="595"/>
      <c r="I25" s="269"/>
      <c r="J25" s="270"/>
      <c r="K25" s="270"/>
    </row>
    <row r="26" spans="1:16" x14ac:dyDescent="0.25">
      <c r="A26" s="280" t="s">
        <v>73</v>
      </c>
      <c r="B26" s="362">
        <v>6</v>
      </c>
      <c r="C26" s="382" t="s">
        <v>102</v>
      </c>
      <c r="D26" s="381">
        <v>6</v>
      </c>
      <c r="E26" s="382" t="s">
        <v>102</v>
      </c>
      <c r="F26" s="285" t="s">
        <v>106</v>
      </c>
      <c r="G26" s="565"/>
      <c r="H26" s="595"/>
      <c r="I26" s="269"/>
      <c r="J26" s="270"/>
      <c r="K26" s="270"/>
    </row>
    <row r="27" spans="1:16" ht="30" customHeight="1" x14ac:dyDescent="0.25">
      <c r="A27" s="280" t="s">
        <v>153</v>
      </c>
      <c r="B27" s="506">
        <v>3</v>
      </c>
      <c r="C27" s="284" t="s">
        <v>102</v>
      </c>
      <c r="D27" s="507">
        <v>3</v>
      </c>
      <c r="E27" s="382" t="s">
        <v>102</v>
      </c>
      <c r="F27" s="305" t="s">
        <v>105</v>
      </c>
      <c r="G27" s="303" t="s">
        <v>103</v>
      </c>
      <c r="H27" s="595"/>
      <c r="I27" s="269"/>
      <c r="J27" s="270"/>
      <c r="K27" s="270"/>
    </row>
    <row r="28" spans="1:16" x14ac:dyDescent="0.25">
      <c r="A28" s="280" t="s">
        <v>149</v>
      </c>
      <c r="B28" s="14">
        <v>20</v>
      </c>
      <c r="C28" s="284" t="s">
        <v>102</v>
      </c>
      <c r="D28" s="381">
        <v>20</v>
      </c>
      <c r="E28" s="382" t="s">
        <v>102</v>
      </c>
      <c r="F28" s="285" t="s">
        <v>105</v>
      </c>
      <c r="G28" s="286" t="s">
        <v>25</v>
      </c>
      <c r="H28" s="595"/>
      <c r="I28" s="269"/>
      <c r="J28" s="270"/>
      <c r="K28" s="270"/>
      <c r="L28" s="308"/>
      <c r="M28" s="298"/>
      <c r="N28" s="298"/>
      <c r="O28" s="298"/>
      <c r="P28" s="298"/>
    </row>
    <row r="29" spans="1:16" ht="30" x14ac:dyDescent="0.25">
      <c r="A29" s="309" t="s">
        <v>155</v>
      </c>
      <c r="B29" s="362">
        <v>90</v>
      </c>
      <c r="C29" s="382" t="s">
        <v>102</v>
      </c>
      <c r="D29" s="381">
        <v>90</v>
      </c>
      <c r="E29" s="382" t="s">
        <v>102</v>
      </c>
      <c r="F29" s="285" t="s">
        <v>106</v>
      </c>
      <c r="G29" s="564" t="s">
        <v>56</v>
      </c>
      <c r="H29" s="595"/>
      <c r="I29" s="269"/>
      <c r="J29" s="270"/>
      <c r="K29" s="270"/>
      <c r="L29" s="308"/>
      <c r="M29" s="298"/>
      <c r="N29" s="298"/>
      <c r="O29" s="298"/>
      <c r="P29" s="298"/>
    </row>
    <row r="30" spans="1:16" x14ac:dyDescent="0.25">
      <c r="A30" s="280" t="s">
        <v>126</v>
      </c>
      <c r="B30" s="362">
        <v>20</v>
      </c>
      <c r="C30" s="382" t="s">
        <v>102</v>
      </c>
      <c r="D30" s="381">
        <v>20</v>
      </c>
      <c r="E30" s="382" t="s">
        <v>102</v>
      </c>
      <c r="F30" s="285" t="s">
        <v>106</v>
      </c>
      <c r="G30" s="566"/>
      <c r="H30" s="595"/>
      <c r="I30" s="269"/>
      <c r="J30" s="270"/>
      <c r="K30" s="270"/>
      <c r="L30" s="298"/>
      <c r="M30" s="298"/>
      <c r="N30" s="298"/>
      <c r="O30" s="298"/>
      <c r="P30" s="298"/>
    </row>
    <row r="31" spans="1:16" x14ac:dyDescent="0.25">
      <c r="A31" s="310" t="s">
        <v>146</v>
      </c>
      <c r="B31" s="389">
        <v>17.760000000000002</v>
      </c>
      <c r="C31" s="382" t="s">
        <v>11</v>
      </c>
      <c r="D31" s="391">
        <v>17.760000000000002</v>
      </c>
      <c r="E31" s="382" t="s">
        <v>11</v>
      </c>
      <c r="F31" s="285" t="s">
        <v>106</v>
      </c>
      <c r="G31" s="286" t="s">
        <v>150</v>
      </c>
      <c r="H31" s="595"/>
      <c r="I31" s="269"/>
      <c r="J31" s="270"/>
      <c r="K31" s="270"/>
    </row>
    <row r="32" spans="1:16" ht="18.75" x14ac:dyDescent="0.25">
      <c r="A32" s="291" t="s">
        <v>43</v>
      </c>
      <c r="B32" s="292"/>
      <c r="C32" s="293"/>
      <c r="D32" s="294"/>
      <c r="E32" s="293"/>
      <c r="F32" s="295"/>
      <c r="G32" s="296"/>
      <c r="H32" s="511"/>
      <c r="I32" s="269"/>
      <c r="J32" s="270"/>
      <c r="K32" s="270"/>
    </row>
    <row r="33" spans="1:13" ht="15" customHeight="1" x14ac:dyDescent="0.25">
      <c r="A33" s="280" t="s">
        <v>73</v>
      </c>
      <c r="B33" s="17">
        <v>46.34</v>
      </c>
      <c r="C33" s="282" t="s">
        <v>24</v>
      </c>
      <c r="D33" s="384">
        <v>46.34</v>
      </c>
      <c r="E33" s="382" t="s">
        <v>24</v>
      </c>
      <c r="F33" s="285" t="s">
        <v>105</v>
      </c>
      <c r="G33" s="286" t="s">
        <v>298</v>
      </c>
      <c r="H33" s="512"/>
      <c r="I33" s="269"/>
      <c r="J33" s="270"/>
      <c r="K33" s="270"/>
    </row>
    <row r="34" spans="1:13" ht="30" x14ac:dyDescent="0.25">
      <c r="A34" s="302" t="s">
        <v>129</v>
      </c>
      <c r="B34" s="386">
        <f>26.8/20</f>
        <v>1.34</v>
      </c>
      <c r="C34" s="392" t="s">
        <v>24</v>
      </c>
      <c r="D34" s="386">
        <f>26.8/20</f>
        <v>1.34</v>
      </c>
      <c r="E34" s="382" t="s">
        <v>24</v>
      </c>
      <c r="F34" s="285" t="s">
        <v>106</v>
      </c>
      <c r="G34" s="286" t="s">
        <v>104</v>
      </c>
      <c r="H34" s="512"/>
      <c r="I34" s="269"/>
      <c r="J34" s="270"/>
      <c r="K34" s="270"/>
    </row>
    <row r="35" spans="1:13" x14ac:dyDescent="0.25">
      <c r="A35" s="302" t="s">
        <v>84</v>
      </c>
      <c r="B35" s="386">
        <v>25</v>
      </c>
      <c r="C35" s="382" t="s">
        <v>24</v>
      </c>
      <c r="D35" s="384">
        <v>25</v>
      </c>
      <c r="E35" s="382" t="s">
        <v>24</v>
      </c>
      <c r="F35" s="285" t="s">
        <v>106</v>
      </c>
      <c r="G35" s="286" t="s">
        <v>18</v>
      </c>
      <c r="H35" s="512"/>
      <c r="I35" s="269"/>
      <c r="J35" s="270"/>
      <c r="K35" s="270"/>
    </row>
    <row r="36" spans="1:13" ht="15" customHeight="1" x14ac:dyDescent="0.25">
      <c r="A36" s="280" t="s">
        <v>82</v>
      </c>
      <c r="B36" s="386">
        <v>12</v>
      </c>
      <c r="C36" s="382" t="s">
        <v>24</v>
      </c>
      <c r="D36" s="384">
        <v>12</v>
      </c>
      <c r="E36" s="382" t="s">
        <v>24</v>
      </c>
      <c r="F36" s="285" t="s">
        <v>106</v>
      </c>
      <c r="G36" s="286"/>
      <c r="H36" s="512"/>
      <c r="I36" s="269"/>
      <c r="J36" s="270"/>
      <c r="K36" s="270"/>
    </row>
    <row r="37" spans="1:13" ht="24.75" customHeight="1" x14ac:dyDescent="0.25">
      <c r="A37" s="280" t="s">
        <v>300</v>
      </c>
      <c r="B37" s="547"/>
      <c r="C37" s="382" t="s">
        <v>24</v>
      </c>
      <c r="D37" s="384"/>
      <c r="E37" s="382" t="s">
        <v>24</v>
      </c>
      <c r="F37" s="285" t="s">
        <v>105</v>
      </c>
      <c r="G37" s="286"/>
      <c r="H37" s="595" t="s">
        <v>303</v>
      </c>
      <c r="I37" s="269"/>
      <c r="J37" s="270"/>
      <c r="K37" s="270"/>
    </row>
    <row r="38" spans="1:13" ht="24.75" customHeight="1" x14ac:dyDescent="0.25">
      <c r="A38" s="280" t="s">
        <v>301</v>
      </c>
      <c r="B38" s="555"/>
      <c r="C38" s="382" t="s">
        <v>24</v>
      </c>
      <c r="D38" s="384"/>
      <c r="E38" s="382" t="s">
        <v>24</v>
      </c>
      <c r="F38" s="285" t="s">
        <v>105</v>
      </c>
      <c r="G38" s="286"/>
      <c r="H38" s="595"/>
      <c r="I38" s="269"/>
      <c r="J38" s="270"/>
      <c r="K38" s="270"/>
    </row>
    <row r="39" spans="1:13" ht="62.25" customHeight="1" x14ac:dyDescent="0.25">
      <c r="A39" s="280" t="s">
        <v>83</v>
      </c>
      <c r="B39" s="386">
        <v>12</v>
      </c>
      <c r="C39" s="382" t="s">
        <v>24</v>
      </c>
      <c r="D39" s="384">
        <v>12</v>
      </c>
      <c r="E39" s="382" t="s">
        <v>24</v>
      </c>
      <c r="F39" s="285" t="s">
        <v>106</v>
      </c>
      <c r="G39" s="554" t="s">
        <v>289</v>
      </c>
      <c r="H39" s="595" t="s">
        <v>293</v>
      </c>
      <c r="I39" s="269"/>
      <c r="J39" s="270"/>
      <c r="K39" s="270"/>
    </row>
    <row r="40" spans="1:13" x14ac:dyDescent="0.25">
      <c r="A40" s="280" t="s">
        <v>184</v>
      </c>
      <c r="B40" s="386">
        <v>500</v>
      </c>
      <c r="C40" s="392" t="s">
        <v>181</v>
      </c>
      <c r="D40" s="386">
        <v>500</v>
      </c>
      <c r="E40" s="382" t="s">
        <v>181</v>
      </c>
      <c r="F40" s="285" t="s">
        <v>106</v>
      </c>
      <c r="G40" s="564" t="s">
        <v>151</v>
      </c>
      <c r="H40" s="595"/>
      <c r="I40" s="269"/>
      <c r="J40" s="270"/>
    </row>
    <row r="41" spans="1:13" x14ac:dyDescent="0.25">
      <c r="A41" s="280" t="s">
        <v>218</v>
      </c>
      <c r="B41" s="386">
        <v>0.18</v>
      </c>
      <c r="C41" s="392" t="s">
        <v>217</v>
      </c>
      <c r="D41" s="386">
        <v>0.18</v>
      </c>
      <c r="E41" s="392" t="s">
        <v>217</v>
      </c>
      <c r="F41" s="285" t="s">
        <v>106</v>
      </c>
      <c r="G41" s="566"/>
      <c r="H41" s="595"/>
      <c r="I41" s="269"/>
      <c r="J41" s="270"/>
    </row>
    <row r="42" spans="1:13" ht="18.75" x14ac:dyDescent="0.25">
      <c r="A42" s="291" t="s">
        <v>9</v>
      </c>
      <c r="B42" s="292"/>
      <c r="C42" s="293"/>
      <c r="D42" s="294"/>
      <c r="E42" s="293"/>
      <c r="F42" s="295"/>
      <c r="G42" s="296"/>
      <c r="H42" s="511"/>
      <c r="I42" s="269"/>
      <c r="J42" s="297"/>
      <c r="K42" s="297"/>
      <c r="L42" s="298"/>
      <c r="M42" s="298"/>
    </row>
    <row r="43" spans="1:13" ht="30" x14ac:dyDescent="0.25">
      <c r="A43" s="304" t="s">
        <v>148</v>
      </c>
      <c r="B43" s="14">
        <v>20</v>
      </c>
      <c r="C43" s="282" t="s">
        <v>20</v>
      </c>
      <c r="D43" s="394">
        <v>20</v>
      </c>
      <c r="E43" s="382" t="s">
        <v>20</v>
      </c>
      <c r="F43" s="305" t="s">
        <v>105</v>
      </c>
      <c r="G43" s="303" t="s">
        <v>56</v>
      </c>
      <c r="H43" s="514"/>
      <c r="I43" s="269"/>
      <c r="J43" s="297"/>
      <c r="K43" s="297"/>
      <c r="L43" s="298"/>
      <c r="M43" s="298"/>
    </row>
    <row r="44" spans="1:13" hidden="1" x14ac:dyDescent="0.25">
      <c r="A44" s="306" t="s">
        <v>175</v>
      </c>
      <c r="B44" s="386">
        <f>+(30*1.86+70*1.4+30*0.75+10*1.12+3*2.23)/100</f>
        <v>1.9419</v>
      </c>
      <c r="C44" s="382" t="s">
        <v>35</v>
      </c>
      <c r="D44" s="384">
        <f>+(30*1.86+70*1.4+30*0.75+10*1.12+3*2.23)/100</f>
        <v>1.9419</v>
      </c>
      <c r="E44" s="382" t="s">
        <v>35</v>
      </c>
      <c r="F44" s="285" t="s">
        <v>106</v>
      </c>
      <c r="G44" s="572" t="s">
        <v>180</v>
      </c>
      <c r="H44" s="515"/>
      <c r="I44" s="269"/>
      <c r="J44" s="270"/>
      <c r="K44" s="270"/>
    </row>
    <row r="45" spans="1:13" hidden="1" x14ac:dyDescent="0.25">
      <c r="A45" s="306" t="s">
        <v>176</v>
      </c>
      <c r="B45" s="386">
        <f>+B44*(1+(B43/100))</f>
        <v>2.3302799999999997</v>
      </c>
      <c r="C45" s="382" t="s">
        <v>35</v>
      </c>
      <c r="D45" s="384">
        <f>+D44*(1+(D43/100))</f>
        <v>2.3302799999999997</v>
      </c>
      <c r="E45" s="382" t="s">
        <v>35</v>
      </c>
      <c r="F45" s="285" t="s">
        <v>106</v>
      </c>
      <c r="G45" s="573"/>
      <c r="H45" s="515"/>
      <c r="I45" s="269"/>
      <c r="J45" s="270"/>
      <c r="K45" s="270"/>
    </row>
    <row r="46" spans="1:13" hidden="1" x14ac:dyDescent="0.25">
      <c r="A46" s="306" t="s">
        <v>178</v>
      </c>
      <c r="B46" s="386">
        <f>+B45-B44</f>
        <v>0.38837999999999973</v>
      </c>
      <c r="C46" s="382" t="s">
        <v>35</v>
      </c>
      <c r="D46" s="384">
        <f>+D45-D44</f>
        <v>0.38837999999999973</v>
      </c>
      <c r="E46" s="382"/>
      <c r="F46" s="285" t="s">
        <v>44</v>
      </c>
      <c r="G46" s="307" t="s">
        <v>204</v>
      </c>
      <c r="H46" s="516"/>
      <c r="I46" s="269"/>
      <c r="J46" s="270"/>
      <c r="K46" s="270"/>
    </row>
    <row r="47" spans="1:13" hidden="1" x14ac:dyDescent="0.25">
      <c r="A47" s="306" t="s">
        <v>65</v>
      </c>
      <c r="B47" s="362">
        <v>68</v>
      </c>
      <c r="C47" s="382" t="s">
        <v>20</v>
      </c>
      <c r="D47" s="394">
        <v>68</v>
      </c>
      <c r="E47" s="382" t="s">
        <v>20</v>
      </c>
      <c r="F47" s="285" t="s">
        <v>106</v>
      </c>
      <c r="G47" s="564" t="s">
        <v>57</v>
      </c>
      <c r="H47" s="517"/>
      <c r="I47" s="269"/>
      <c r="J47" s="270"/>
      <c r="K47" s="270"/>
    </row>
    <row r="48" spans="1:13" hidden="1" x14ac:dyDescent="0.25">
      <c r="A48" s="306" t="s">
        <v>64</v>
      </c>
      <c r="B48" s="362">
        <v>32</v>
      </c>
      <c r="C48" s="382" t="s">
        <v>20</v>
      </c>
      <c r="D48" s="394">
        <v>32</v>
      </c>
      <c r="E48" s="382" t="s">
        <v>20</v>
      </c>
      <c r="F48" s="285" t="s">
        <v>106</v>
      </c>
      <c r="G48" s="566"/>
      <c r="H48" s="517"/>
      <c r="I48" s="269"/>
      <c r="J48" s="270"/>
      <c r="K48" s="270"/>
    </row>
    <row r="49" spans="1:16" hidden="1" x14ac:dyDescent="0.25">
      <c r="A49" s="306" t="s">
        <v>66</v>
      </c>
      <c r="B49" s="393">
        <v>540</v>
      </c>
      <c r="C49" s="382" t="s">
        <v>10</v>
      </c>
      <c r="D49" s="395">
        <v>540</v>
      </c>
      <c r="E49" s="382" t="s">
        <v>10</v>
      </c>
      <c r="F49" s="285" t="s">
        <v>106</v>
      </c>
      <c r="G49" s="564" t="s">
        <v>58</v>
      </c>
      <c r="H49" s="517"/>
      <c r="I49" s="269"/>
      <c r="J49" s="270"/>
      <c r="K49" s="270"/>
    </row>
    <row r="50" spans="1:16" hidden="1" x14ac:dyDescent="0.25">
      <c r="A50" s="306" t="s">
        <v>67</v>
      </c>
      <c r="B50" s="393">
        <v>430</v>
      </c>
      <c r="C50" s="382" t="s">
        <v>10</v>
      </c>
      <c r="D50" s="395">
        <v>430</v>
      </c>
      <c r="E50" s="382" t="s">
        <v>10</v>
      </c>
      <c r="F50" s="285" t="s">
        <v>106</v>
      </c>
      <c r="G50" s="566"/>
      <c r="H50" s="517"/>
      <c r="I50" s="269"/>
      <c r="J50" s="270"/>
      <c r="K50" s="270"/>
    </row>
    <row r="51" spans="1:16" hidden="1" x14ac:dyDescent="0.25">
      <c r="A51" s="306" t="s">
        <v>68</v>
      </c>
      <c r="B51" s="393">
        <f>(B49*B47%)+(B50*B48%)</f>
        <v>504.80000000000007</v>
      </c>
      <c r="C51" s="382" t="s">
        <v>10</v>
      </c>
      <c r="D51" s="395">
        <f>(D49*D47%)+(D50*D48%)</f>
        <v>504.80000000000007</v>
      </c>
      <c r="E51" s="382" t="s">
        <v>10</v>
      </c>
      <c r="F51" s="305" t="s">
        <v>44</v>
      </c>
      <c r="G51" s="303" t="s">
        <v>203</v>
      </c>
      <c r="H51" s="514"/>
      <c r="I51" s="300"/>
      <c r="J51" s="297"/>
      <c r="K51" s="297"/>
      <c r="L51" s="298"/>
      <c r="M51" s="298"/>
      <c r="N51" s="298"/>
      <c r="O51" s="298"/>
    </row>
    <row r="52" spans="1:16" hidden="1" x14ac:dyDescent="0.25">
      <c r="A52" s="306" t="s">
        <v>69</v>
      </c>
      <c r="B52" s="362">
        <v>7.03</v>
      </c>
      <c r="C52" s="382" t="s">
        <v>20</v>
      </c>
      <c r="D52" s="394">
        <v>7.03</v>
      </c>
      <c r="E52" s="382" t="s">
        <v>20</v>
      </c>
      <c r="F52" s="305" t="s">
        <v>106</v>
      </c>
      <c r="G52" s="286" t="s">
        <v>59</v>
      </c>
      <c r="H52" s="512"/>
      <c r="I52" s="269"/>
      <c r="J52" s="270"/>
      <c r="K52" s="270"/>
    </row>
    <row r="53" spans="1:16" hidden="1" x14ac:dyDescent="0.25">
      <c r="A53" s="306" t="s">
        <v>70</v>
      </c>
      <c r="B53" s="386">
        <f>+B51*B52/100</f>
        <v>35.487440000000007</v>
      </c>
      <c r="C53" s="382" t="s">
        <v>10</v>
      </c>
      <c r="D53" s="384">
        <f>+D51*D52/100</f>
        <v>35.487440000000007</v>
      </c>
      <c r="E53" s="382" t="s">
        <v>10</v>
      </c>
      <c r="F53" s="305" t="s">
        <v>44</v>
      </c>
      <c r="G53" s="286" t="s">
        <v>205</v>
      </c>
      <c r="H53" s="512"/>
      <c r="I53" s="269"/>
      <c r="J53" s="270"/>
      <c r="K53" s="270"/>
    </row>
    <row r="54" spans="1:16" x14ac:dyDescent="0.25">
      <c r="A54" s="302" t="s">
        <v>71</v>
      </c>
      <c r="B54" s="386">
        <f>+B53*B46</f>
        <v>13.782611947199992</v>
      </c>
      <c r="C54" s="382" t="s">
        <v>177</v>
      </c>
      <c r="D54" s="384">
        <f>+D53*D46</f>
        <v>13.782611947199992</v>
      </c>
      <c r="E54" s="382" t="s">
        <v>177</v>
      </c>
      <c r="F54" s="305" t="s">
        <v>44</v>
      </c>
      <c r="G54" s="303" t="s">
        <v>255</v>
      </c>
      <c r="H54" s="514"/>
      <c r="I54" s="300"/>
      <c r="J54" s="297"/>
      <c r="K54" s="270"/>
    </row>
    <row r="55" spans="1:16" ht="18.75" x14ac:dyDescent="0.25">
      <c r="A55" s="291" t="s">
        <v>36</v>
      </c>
      <c r="B55" s="292"/>
      <c r="C55" s="293"/>
      <c r="D55" s="294"/>
      <c r="E55" s="293"/>
      <c r="F55" s="295"/>
      <c r="G55" s="296"/>
      <c r="H55" s="511"/>
      <c r="I55" s="269"/>
      <c r="J55" s="311"/>
      <c r="K55" s="312" t="s">
        <v>188</v>
      </c>
      <c r="L55" s="311"/>
      <c r="M55" s="298"/>
      <c r="N55" s="298"/>
      <c r="O55" s="298"/>
      <c r="P55" s="298"/>
    </row>
    <row r="56" spans="1:16" ht="15" customHeight="1" x14ac:dyDescent="0.25">
      <c r="A56" s="313" t="s">
        <v>138</v>
      </c>
      <c r="B56" s="520">
        <v>8</v>
      </c>
      <c r="C56" s="282" t="s">
        <v>12</v>
      </c>
      <c r="D56" s="523">
        <v>8</v>
      </c>
      <c r="E56" s="382" t="s">
        <v>12</v>
      </c>
      <c r="F56" s="285" t="s">
        <v>105</v>
      </c>
      <c r="G56" s="564" t="s">
        <v>56</v>
      </c>
      <c r="H56" s="595" t="s">
        <v>294</v>
      </c>
      <c r="I56" s="269"/>
      <c r="J56" s="502">
        <f>B56+(B$5*B$6/2*B57%)</f>
        <v>8</v>
      </c>
      <c r="K56" s="301"/>
      <c r="L56" s="503">
        <f>D56+(D$5*D$6/2*D57%)</f>
        <v>8</v>
      </c>
      <c r="M56" s="298"/>
      <c r="N56" s="298"/>
      <c r="O56" s="298"/>
      <c r="P56" s="298"/>
    </row>
    <row r="57" spans="1:16" x14ac:dyDescent="0.25">
      <c r="A57" s="493" t="s">
        <v>237</v>
      </c>
      <c r="B57" s="532"/>
      <c r="C57" s="315" t="s">
        <v>20</v>
      </c>
      <c r="D57" s="533"/>
      <c r="E57" s="398" t="s">
        <v>20</v>
      </c>
      <c r="F57" s="316" t="s">
        <v>105</v>
      </c>
      <c r="G57" s="565"/>
      <c r="H57" s="595"/>
      <c r="I57" s="269"/>
      <c r="J57" s="317"/>
      <c r="K57" s="297"/>
      <c r="L57" s="318"/>
      <c r="M57" s="298"/>
      <c r="N57" s="298"/>
      <c r="O57" s="298"/>
      <c r="P57" s="298"/>
    </row>
    <row r="58" spans="1:16" x14ac:dyDescent="0.25">
      <c r="A58" s="313" t="s">
        <v>139</v>
      </c>
      <c r="B58" s="526">
        <v>8</v>
      </c>
      <c r="C58" s="282" t="s">
        <v>12</v>
      </c>
      <c r="D58" s="529">
        <v>8</v>
      </c>
      <c r="E58" s="382" t="s">
        <v>12</v>
      </c>
      <c r="F58" s="285" t="s">
        <v>105</v>
      </c>
      <c r="G58" s="565"/>
      <c r="H58" s="595"/>
      <c r="I58" s="269"/>
      <c r="J58" s="502">
        <f>B58+(B$5*B$6/2*B59%)</f>
        <v>8</v>
      </c>
      <c r="K58" s="297"/>
      <c r="L58" s="314">
        <f>D58+(D$5*D$6/2*D59%)</f>
        <v>8</v>
      </c>
      <c r="M58" s="298"/>
      <c r="N58" s="298"/>
      <c r="O58" s="298"/>
      <c r="P58" s="298"/>
    </row>
    <row r="59" spans="1:16" x14ac:dyDescent="0.25">
      <c r="A59" s="493" t="s">
        <v>237</v>
      </c>
      <c r="B59" s="534"/>
      <c r="C59" s="315" t="s">
        <v>20</v>
      </c>
      <c r="D59" s="535"/>
      <c r="E59" s="398" t="s">
        <v>20</v>
      </c>
      <c r="F59" s="316" t="s">
        <v>105</v>
      </c>
      <c r="G59" s="565"/>
      <c r="H59" s="595"/>
      <c r="I59" s="269"/>
      <c r="J59" s="317"/>
      <c r="K59" s="297"/>
      <c r="L59" s="318"/>
      <c r="M59" s="298"/>
      <c r="N59" s="298"/>
      <c r="O59" s="298"/>
      <c r="P59" s="298"/>
    </row>
    <row r="60" spans="1:16" x14ac:dyDescent="0.25">
      <c r="A60" s="313" t="s">
        <v>140</v>
      </c>
      <c r="B60" s="520">
        <v>62</v>
      </c>
      <c r="C60" s="282" t="s">
        <v>12</v>
      </c>
      <c r="D60" s="523">
        <v>62</v>
      </c>
      <c r="E60" s="382" t="s">
        <v>12</v>
      </c>
      <c r="F60" s="285" t="s">
        <v>105</v>
      </c>
      <c r="G60" s="565"/>
      <c r="H60" s="595"/>
      <c r="I60" s="269"/>
      <c r="J60" s="502">
        <f>B60+(B$5*B$6/2*B61%)</f>
        <v>62</v>
      </c>
      <c r="K60" s="270"/>
      <c r="L60" s="314">
        <f>D60+(D$5*D$6/2*D61%)</f>
        <v>62</v>
      </c>
    </row>
    <row r="61" spans="1:16" x14ac:dyDescent="0.25">
      <c r="A61" s="493" t="s">
        <v>237</v>
      </c>
      <c r="B61" s="532"/>
      <c r="C61" s="315" t="s">
        <v>20</v>
      </c>
      <c r="D61" s="533"/>
      <c r="E61" s="398" t="s">
        <v>20</v>
      </c>
      <c r="F61" s="316" t="s">
        <v>105</v>
      </c>
      <c r="G61" s="565"/>
      <c r="H61" s="595"/>
      <c r="I61" s="269"/>
      <c r="J61" s="319"/>
      <c r="K61" s="270"/>
      <c r="L61" s="320"/>
    </row>
    <row r="62" spans="1:16" x14ac:dyDescent="0.25">
      <c r="A62" s="313" t="s">
        <v>141</v>
      </c>
      <c r="B62" s="526">
        <v>29</v>
      </c>
      <c r="C62" s="282" t="s">
        <v>12</v>
      </c>
      <c r="D62" s="529">
        <v>29</v>
      </c>
      <c r="E62" s="382" t="s">
        <v>12</v>
      </c>
      <c r="F62" s="285" t="s">
        <v>105</v>
      </c>
      <c r="G62" s="565"/>
      <c r="H62" s="595"/>
      <c r="I62" s="269"/>
      <c r="J62" s="281">
        <f>B62+(B$5*B$6/2*B63%)</f>
        <v>29</v>
      </c>
      <c r="K62" s="270"/>
      <c r="L62" s="314">
        <f>D62+(D$5*D$6/2*D63%)</f>
        <v>29</v>
      </c>
    </row>
    <row r="63" spans="1:16" x14ac:dyDescent="0.25">
      <c r="A63" s="493" t="s">
        <v>237</v>
      </c>
      <c r="B63" s="534"/>
      <c r="C63" s="315" t="s">
        <v>20</v>
      </c>
      <c r="D63" s="535"/>
      <c r="E63" s="398" t="s">
        <v>20</v>
      </c>
      <c r="F63" s="316" t="s">
        <v>105</v>
      </c>
      <c r="G63" s="565"/>
      <c r="H63" s="595"/>
      <c r="I63" s="269"/>
      <c r="J63" s="319"/>
      <c r="K63" s="270"/>
      <c r="L63" s="320"/>
    </row>
    <row r="64" spans="1:16" x14ac:dyDescent="0.25">
      <c r="A64" s="313" t="s">
        <v>142</v>
      </c>
      <c r="B64" s="520">
        <v>1</v>
      </c>
      <c r="C64" s="282" t="s">
        <v>12</v>
      </c>
      <c r="D64" s="523">
        <v>1</v>
      </c>
      <c r="E64" s="382" t="s">
        <v>12</v>
      </c>
      <c r="F64" s="285" t="s">
        <v>105</v>
      </c>
      <c r="G64" s="565"/>
      <c r="H64" s="595"/>
      <c r="I64" s="269"/>
      <c r="J64" s="281">
        <f>B64+(B$5*B$6/2*B65%)</f>
        <v>1</v>
      </c>
      <c r="K64" s="270"/>
      <c r="L64" s="314">
        <f>D64+(D$5*D$6/2*D65%)</f>
        <v>1</v>
      </c>
    </row>
    <row r="65" spans="1:12" x14ac:dyDescent="0.25">
      <c r="A65" s="493" t="s">
        <v>237</v>
      </c>
      <c r="B65" s="532"/>
      <c r="C65" s="315" t="s">
        <v>20</v>
      </c>
      <c r="D65" s="533"/>
      <c r="E65" s="398" t="s">
        <v>20</v>
      </c>
      <c r="F65" s="316" t="s">
        <v>105</v>
      </c>
      <c r="G65" s="565"/>
      <c r="H65" s="595"/>
      <c r="I65" s="269"/>
      <c r="J65" s="319"/>
      <c r="K65" s="270"/>
      <c r="L65" s="320"/>
    </row>
    <row r="66" spans="1:12" x14ac:dyDescent="0.25">
      <c r="A66" s="313" t="s">
        <v>143</v>
      </c>
      <c r="B66" s="526">
        <v>1</v>
      </c>
      <c r="C66" s="282" t="s">
        <v>12</v>
      </c>
      <c r="D66" s="529">
        <v>1</v>
      </c>
      <c r="E66" s="382" t="s">
        <v>12</v>
      </c>
      <c r="F66" s="285" t="s">
        <v>105</v>
      </c>
      <c r="G66" s="565"/>
      <c r="H66" s="595"/>
      <c r="I66" s="269"/>
      <c r="J66" s="281">
        <f>B66+(B$5*B$6/2*B67%)</f>
        <v>1</v>
      </c>
      <c r="K66" s="270"/>
      <c r="L66" s="314">
        <f>D66+(D$5*D$6/2*D67%)</f>
        <v>1</v>
      </c>
    </row>
    <row r="67" spans="1:12" x14ac:dyDescent="0.25">
      <c r="A67" s="493" t="s">
        <v>237</v>
      </c>
      <c r="B67" s="534"/>
      <c r="C67" s="315" t="s">
        <v>20</v>
      </c>
      <c r="D67" s="535"/>
      <c r="E67" s="398" t="s">
        <v>20</v>
      </c>
      <c r="F67" s="316" t="s">
        <v>105</v>
      </c>
      <c r="G67" s="589"/>
      <c r="H67" s="595"/>
      <c r="I67" s="269"/>
      <c r="J67" s="319"/>
      <c r="K67" s="270"/>
      <c r="L67" s="320"/>
    </row>
    <row r="68" spans="1:12" x14ac:dyDescent="0.25">
      <c r="A68" s="321" t="s">
        <v>273</v>
      </c>
      <c r="B68" s="521">
        <f>IF(ISBLANK(J56),((B5*B6/2)-((B5*B6/2)*(J57+J61+J65)))/(B5*B6/2)*100,(((B5*B6)/2)-J56-J60-J64)/((B5*B6)/2)*100)</f>
        <v>11.801242236024844</v>
      </c>
      <c r="C68" s="396" t="s">
        <v>133</v>
      </c>
      <c r="D68" s="524">
        <f>IF(ISBLANK(L56),((D5*D6/2)-((D5*D6/2)*(L57+L61+L65)))/(D5*D6/2)*100,(((D5*D6)/2)-L56-L60-L64)/((D5*D6)/2)*100)</f>
        <v>11.801242236024844</v>
      </c>
      <c r="E68" s="396" t="s">
        <v>133</v>
      </c>
      <c r="F68" s="323" t="s">
        <v>44</v>
      </c>
      <c r="G68" s="324"/>
      <c r="H68" s="595"/>
      <c r="I68" s="269"/>
      <c r="K68" s="270"/>
    </row>
    <row r="69" spans="1:12" x14ac:dyDescent="0.25">
      <c r="A69" s="302" t="s">
        <v>274</v>
      </c>
      <c r="B69" s="522">
        <f>IF(ISBLANK(J56),ROUND(((B5*B6/2)-((B5*B6/2)*(J57+J61+J65))),0),ROUND((((B5*B6)/2)-J56-J60-J64),0))</f>
        <v>10</v>
      </c>
      <c r="C69" s="382" t="s">
        <v>21</v>
      </c>
      <c r="D69" s="525">
        <f>IF(ISBLANK(L56),ROUND(((D5*D6/2)-((D5*D6/2)*(L57+L61+L65))),0),ROUND((((D5*D6)/2)-L56-L60-L64),0))</f>
        <v>10</v>
      </c>
      <c r="E69" s="382" t="s">
        <v>21</v>
      </c>
      <c r="F69" s="285" t="s">
        <v>44</v>
      </c>
      <c r="G69" s="286"/>
      <c r="H69" s="595"/>
      <c r="I69" s="269"/>
      <c r="J69" s="325"/>
      <c r="K69" s="270"/>
    </row>
    <row r="70" spans="1:12" x14ac:dyDescent="0.25">
      <c r="A70" s="302" t="s">
        <v>275</v>
      </c>
      <c r="B70" s="527">
        <f>IF(ISBLANK(J58),((B5*B6/2)-((B5*B6/2)*(J59+J63+J67)))/(B5*B6/2)*100,(((B5*B6)/2)-J58-J62-J66)/((B5*B6)/2)*100)</f>
        <v>52.795031055900623</v>
      </c>
      <c r="C70" s="382" t="s">
        <v>134</v>
      </c>
      <c r="D70" s="530">
        <f>IF(ISBLANK(L58),((D5*D6/2)-((D5*D6/2)*(L59+L63+L67)))/(D5*D6/2)*100,(((D5*D6)/2)-L58-L62-L66)/((D5*D6)/2)*100)</f>
        <v>52.795031055900623</v>
      </c>
      <c r="E70" s="382" t="s">
        <v>134</v>
      </c>
      <c r="F70" s="285" t="s">
        <v>44</v>
      </c>
      <c r="G70" s="286"/>
      <c r="H70" s="595"/>
      <c r="I70" s="269"/>
      <c r="J70" s="270"/>
      <c r="K70" s="270"/>
    </row>
    <row r="71" spans="1:12" x14ac:dyDescent="0.25">
      <c r="A71" s="302" t="s">
        <v>276</v>
      </c>
      <c r="B71" s="528">
        <f>IF(ISBLANK(J58),ROUND(((B5*B6/2)-((B5*B6/2)*(J59+J63+J67))),0),ROUND((((B5*B6)/2)-J58-J62-J66),0))</f>
        <v>43</v>
      </c>
      <c r="C71" s="382" t="s">
        <v>132</v>
      </c>
      <c r="D71" s="531">
        <f>IF(ISBLANK(L58),ROUND(((D5*D6/2)-((D5*D6/2)*(L59+L63+L67))),0),ROUND((((D5*D6)/2)-L58-L62-L66),0))</f>
        <v>43</v>
      </c>
      <c r="E71" s="382" t="s">
        <v>132</v>
      </c>
      <c r="F71" s="285" t="s">
        <v>44</v>
      </c>
      <c r="G71" s="286"/>
      <c r="H71" s="595"/>
      <c r="I71" s="269"/>
      <c r="J71" s="326"/>
      <c r="K71" s="270"/>
    </row>
    <row r="72" spans="1:12" ht="18.75" x14ac:dyDescent="0.25">
      <c r="A72" s="291" t="s">
        <v>144</v>
      </c>
      <c r="B72" s="292"/>
      <c r="C72" s="293"/>
      <c r="D72" s="294"/>
      <c r="E72" s="293"/>
      <c r="F72" s="295"/>
      <c r="G72" s="296"/>
      <c r="H72" s="511"/>
      <c r="I72" s="269"/>
      <c r="J72" s="270"/>
      <c r="K72" s="270"/>
    </row>
    <row r="73" spans="1:12" x14ac:dyDescent="0.25">
      <c r="A73" s="280" t="s">
        <v>186</v>
      </c>
      <c r="B73" s="362">
        <v>0.13200000000000001</v>
      </c>
      <c r="C73" s="382" t="s">
        <v>14</v>
      </c>
      <c r="D73" s="381">
        <v>0.13200000000000001</v>
      </c>
      <c r="E73" s="382" t="s">
        <v>14</v>
      </c>
      <c r="F73" s="285" t="s">
        <v>106</v>
      </c>
      <c r="G73" s="327" t="s">
        <v>151</v>
      </c>
      <c r="H73" s="598" t="s">
        <v>295</v>
      </c>
      <c r="I73" s="269"/>
      <c r="J73" s="270"/>
      <c r="K73" s="270"/>
    </row>
    <row r="74" spans="1:12" x14ac:dyDescent="0.25">
      <c r="A74" s="328" t="s">
        <v>187</v>
      </c>
      <c r="B74" s="16">
        <v>50</v>
      </c>
      <c r="C74" s="284" t="s">
        <v>20</v>
      </c>
      <c r="D74" s="402">
        <v>50</v>
      </c>
      <c r="E74" s="382" t="s">
        <v>20</v>
      </c>
      <c r="F74" s="285" t="s">
        <v>105</v>
      </c>
      <c r="G74" s="303"/>
      <c r="H74" s="598"/>
      <c r="I74" s="300"/>
      <c r="J74" s="270"/>
      <c r="K74" s="270"/>
    </row>
    <row r="75" spans="1:12" x14ac:dyDescent="0.25">
      <c r="A75" s="313" t="s">
        <v>85</v>
      </c>
      <c r="B75" s="399">
        <f>B73*(B74/85)</f>
        <v>7.7647058823529416E-2</v>
      </c>
      <c r="C75" s="400" t="s">
        <v>14</v>
      </c>
      <c r="D75" s="401">
        <f>D73*(D74/85)</f>
        <v>7.7647058823529416E-2</v>
      </c>
      <c r="E75" s="400" t="s">
        <v>14</v>
      </c>
      <c r="F75" s="329" t="s">
        <v>44</v>
      </c>
      <c r="G75" s="330" t="s">
        <v>254</v>
      </c>
      <c r="H75" s="598"/>
      <c r="I75" s="300"/>
      <c r="J75" s="270"/>
      <c r="K75" s="270"/>
    </row>
    <row r="76" spans="1:12" x14ac:dyDescent="0.25">
      <c r="A76" s="331" t="s">
        <v>135</v>
      </c>
      <c r="B76" s="332"/>
      <c r="C76" s="333"/>
      <c r="D76" s="334"/>
      <c r="E76" s="333"/>
      <c r="F76" s="335"/>
      <c r="G76" s="336"/>
      <c r="H76" s="598"/>
      <c r="I76" s="300"/>
      <c r="J76" s="270"/>
      <c r="K76" s="270"/>
    </row>
    <row r="77" spans="1:12" x14ac:dyDescent="0.25">
      <c r="A77" s="337" t="s">
        <v>86</v>
      </c>
      <c r="B77" s="29">
        <v>0.2</v>
      </c>
      <c r="C77" s="282" t="s">
        <v>14</v>
      </c>
      <c r="D77" s="403">
        <v>0.2</v>
      </c>
      <c r="E77" s="382" t="s">
        <v>14</v>
      </c>
      <c r="F77" s="285" t="s">
        <v>105</v>
      </c>
      <c r="G77" s="590" t="s">
        <v>150</v>
      </c>
      <c r="H77" s="598"/>
      <c r="I77" s="269"/>
      <c r="J77" s="270"/>
      <c r="K77" s="270"/>
    </row>
    <row r="78" spans="1:12" x14ac:dyDescent="0.25">
      <c r="A78" s="337" t="s">
        <v>87</v>
      </c>
      <c r="B78" s="15">
        <v>0.20499999999999999</v>
      </c>
      <c r="C78" s="282" t="s">
        <v>14</v>
      </c>
      <c r="D78" s="381">
        <v>0.20499999999999999</v>
      </c>
      <c r="E78" s="382" t="s">
        <v>14</v>
      </c>
      <c r="F78" s="285" t="s">
        <v>105</v>
      </c>
      <c r="G78" s="591"/>
      <c r="H78" s="598"/>
      <c r="I78" s="269"/>
      <c r="J78" s="270"/>
      <c r="K78" s="270"/>
    </row>
    <row r="79" spans="1:12" x14ac:dyDescent="0.25">
      <c r="A79" s="339" t="s">
        <v>88</v>
      </c>
      <c r="B79" s="20">
        <v>0.21199999999999999</v>
      </c>
      <c r="C79" s="315" t="s">
        <v>14</v>
      </c>
      <c r="D79" s="397">
        <v>0.21199999999999999</v>
      </c>
      <c r="E79" s="398" t="s">
        <v>14</v>
      </c>
      <c r="F79" s="316" t="s">
        <v>105</v>
      </c>
      <c r="G79" s="591"/>
      <c r="H79" s="598"/>
      <c r="I79" s="269"/>
      <c r="J79" s="270"/>
      <c r="K79" s="270"/>
    </row>
    <row r="80" spans="1:12" x14ac:dyDescent="0.25">
      <c r="A80" s="321" t="s">
        <v>76</v>
      </c>
      <c r="B80" s="28">
        <v>0.67900000000000005</v>
      </c>
      <c r="C80" s="322" t="s">
        <v>23</v>
      </c>
      <c r="D80" s="404">
        <v>0.67900000000000005</v>
      </c>
      <c r="E80" s="396" t="s">
        <v>14</v>
      </c>
      <c r="F80" s="323" t="s">
        <v>105</v>
      </c>
      <c r="G80" s="591"/>
      <c r="H80" s="598"/>
      <c r="I80" s="269"/>
      <c r="J80" s="270"/>
      <c r="K80" s="270"/>
    </row>
    <row r="81" spans="1:11" x14ac:dyDescent="0.25">
      <c r="A81" s="280" t="s">
        <v>16</v>
      </c>
      <c r="B81" s="14">
        <v>1.079</v>
      </c>
      <c r="C81" s="284" t="s">
        <v>14</v>
      </c>
      <c r="D81" s="381">
        <v>1.079</v>
      </c>
      <c r="E81" s="382" t="s">
        <v>14</v>
      </c>
      <c r="F81" s="340" t="s">
        <v>105</v>
      </c>
      <c r="G81" s="591"/>
      <c r="H81" s="598"/>
      <c r="I81" s="269"/>
      <c r="J81" s="270"/>
      <c r="K81" s="270"/>
    </row>
    <row r="82" spans="1:11" ht="15.75" thickBot="1" x14ac:dyDescent="0.3">
      <c r="A82" s="341" t="s">
        <v>174</v>
      </c>
      <c r="B82" s="19">
        <v>0.47599999999999998</v>
      </c>
      <c r="C82" s="342" t="s">
        <v>14</v>
      </c>
      <c r="D82" s="405">
        <v>0.47599999999999998</v>
      </c>
      <c r="E82" s="406" t="s">
        <v>14</v>
      </c>
      <c r="F82" s="343" t="s">
        <v>105</v>
      </c>
      <c r="G82" s="592"/>
      <c r="H82" s="599"/>
      <c r="I82" s="269"/>
      <c r="J82" s="270"/>
      <c r="K82" s="270"/>
    </row>
    <row r="83" spans="1:11" ht="18.75" x14ac:dyDescent="0.25">
      <c r="A83" s="625" t="s">
        <v>37</v>
      </c>
      <c r="B83" s="292"/>
      <c r="C83" s="293"/>
      <c r="D83" s="294"/>
      <c r="E83" s="293"/>
      <c r="F83" s="295"/>
      <c r="G83" s="296"/>
      <c r="H83" s="511"/>
      <c r="I83" s="269"/>
      <c r="J83" s="270"/>
      <c r="K83" s="270"/>
    </row>
    <row r="84" spans="1:11" x14ac:dyDescent="0.25">
      <c r="A84" s="344" t="s">
        <v>171</v>
      </c>
      <c r="B84" s="345"/>
      <c r="C84" s="346"/>
      <c r="D84" s="347"/>
      <c r="E84" s="346"/>
      <c r="F84" s="348"/>
      <c r="G84" s="349"/>
      <c r="H84" s="518"/>
      <c r="I84" s="269"/>
      <c r="J84" s="270"/>
      <c r="K84" s="270"/>
    </row>
    <row r="85" spans="1:11" x14ac:dyDescent="0.25">
      <c r="A85" s="350" t="s">
        <v>210</v>
      </c>
      <c r="B85" s="546">
        <v>0.42</v>
      </c>
      <c r="C85" s="284" t="s">
        <v>15</v>
      </c>
      <c r="D85" s="551">
        <v>0.42</v>
      </c>
      <c r="E85" s="284" t="s">
        <v>15</v>
      </c>
      <c r="F85" s="285" t="s">
        <v>105</v>
      </c>
      <c r="G85" s="564" t="s">
        <v>60</v>
      </c>
      <c r="H85" s="595" t="s">
        <v>296</v>
      </c>
      <c r="I85" s="269"/>
      <c r="J85" s="270"/>
      <c r="K85" s="270"/>
    </row>
    <row r="86" spans="1:11" x14ac:dyDescent="0.25">
      <c r="A86" s="351" t="s">
        <v>107</v>
      </c>
      <c r="B86" s="338"/>
      <c r="C86" s="352"/>
      <c r="D86" s="353"/>
      <c r="E86" s="352"/>
      <c r="F86" s="354"/>
      <c r="G86" s="565"/>
      <c r="H86" s="595"/>
      <c r="I86" s="269"/>
      <c r="J86" s="270"/>
      <c r="K86" s="270"/>
    </row>
    <row r="87" spans="1:11" x14ac:dyDescent="0.25">
      <c r="A87" s="355" t="s">
        <v>75</v>
      </c>
      <c r="B87" s="546">
        <v>1.38</v>
      </c>
      <c r="C87" s="284" t="s">
        <v>15</v>
      </c>
      <c r="D87" s="551">
        <v>1.38</v>
      </c>
      <c r="E87" s="284" t="s">
        <v>15</v>
      </c>
      <c r="F87" s="285" t="s">
        <v>105</v>
      </c>
      <c r="G87" s="565"/>
      <c r="H87" s="595"/>
      <c r="I87" s="269"/>
      <c r="J87" s="270"/>
      <c r="K87" s="270"/>
    </row>
    <row r="88" spans="1:11" x14ac:dyDescent="0.25">
      <c r="A88" s="356" t="s">
        <v>76</v>
      </c>
      <c r="B88" s="546">
        <v>0.26</v>
      </c>
      <c r="C88" s="284" t="s">
        <v>15</v>
      </c>
      <c r="D88" s="551">
        <v>0.26</v>
      </c>
      <c r="E88" s="284" t="s">
        <v>15</v>
      </c>
      <c r="F88" s="285" t="s">
        <v>105</v>
      </c>
      <c r="G88" s="565"/>
      <c r="H88" s="595"/>
      <c r="I88" s="269"/>
      <c r="J88" s="270"/>
      <c r="K88" s="270"/>
    </row>
    <row r="89" spans="1:11" x14ac:dyDescent="0.25">
      <c r="A89" s="355" t="s">
        <v>16</v>
      </c>
      <c r="B89" s="547">
        <v>0.01</v>
      </c>
      <c r="C89" s="284" t="s">
        <v>15</v>
      </c>
      <c r="D89" s="552">
        <v>0.01</v>
      </c>
      <c r="E89" s="284" t="s">
        <v>15</v>
      </c>
      <c r="F89" s="285" t="s">
        <v>105</v>
      </c>
      <c r="G89" s="566"/>
      <c r="H89" s="595"/>
      <c r="I89" s="269"/>
      <c r="J89" s="270"/>
      <c r="K89" s="270"/>
    </row>
    <row r="90" spans="1:11" x14ac:dyDescent="0.25">
      <c r="A90" s="355" t="s">
        <v>108</v>
      </c>
      <c r="B90" s="548"/>
      <c r="C90" s="282" t="s">
        <v>15</v>
      </c>
      <c r="D90" s="357"/>
      <c r="E90" s="284" t="s">
        <v>15</v>
      </c>
      <c r="F90" s="285" t="s">
        <v>105</v>
      </c>
      <c r="G90" s="303"/>
      <c r="H90" s="595"/>
      <c r="I90" s="269"/>
      <c r="J90" s="270"/>
      <c r="K90" s="270"/>
    </row>
    <row r="91" spans="1:11" x14ac:dyDescent="0.25">
      <c r="A91" s="280" t="s">
        <v>77</v>
      </c>
      <c r="B91" s="549">
        <v>47</v>
      </c>
      <c r="C91" s="382" t="s">
        <v>22</v>
      </c>
      <c r="D91" s="523">
        <v>47</v>
      </c>
      <c r="E91" s="382" t="s">
        <v>22</v>
      </c>
      <c r="F91" s="305" t="s">
        <v>106</v>
      </c>
      <c r="G91" s="286"/>
      <c r="H91" s="595"/>
      <c r="I91" s="269"/>
      <c r="J91" s="270"/>
      <c r="K91" s="270"/>
    </row>
    <row r="92" spans="1:11" ht="45" x14ac:dyDescent="0.25">
      <c r="A92" s="280" t="s">
        <v>78</v>
      </c>
      <c r="B92" s="550">
        <f>((B85*B$75)+(B87*((B$77+B$78+B$79)/COUNTIF(B$77:B$79,"&gt;0")))+(B88*B$80)+(B89*B$81)+(B90*B$82))*B91</f>
        <v>23.676802941176469</v>
      </c>
      <c r="C92" s="382" t="s">
        <v>13</v>
      </c>
      <c r="D92" s="550">
        <f>((D85*D$75)+(D87*((D$77+D$78+D$79)/COUNTIF(D$77:D$79,"&gt;0")))+(D88*D$80)+(D89*D$81)+(D90*D82))*D91</f>
        <v>23.676802941176469</v>
      </c>
      <c r="E92" s="382" t="s">
        <v>13</v>
      </c>
      <c r="F92" s="305" t="s">
        <v>44</v>
      </c>
      <c r="G92" s="303" t="s">
        <v>256</v>
      </c>
      <c r="H92" s="595"/>
      <c r="I92" s="269"/>
      <c r="J92" s="270"/>
      <c r="K92" s="270"/>
    </row>
    <row r="93" spans="1:11" x14ac:dyDescent="0.25">
      <c r="A93" s="344" t="s">
        <v>170</v>
      </c>
      <c r="B93" s="345"/>
      <c r="C93" s="346"/>
      <c r="D93" s="347"/>
      <c r="E93" s="346"/>
      <c r="F93" s="348"/>
      <c r="G93" s="349"/>
      <c r="H93" s="518"/>
      <c r="I93" s="269"/>
      <c r="J93" s="270"/>
      <c r="K93" s="270"/>
    </row>
    <row r="94" spans="1:11" x14ac:dyDescent="0.25">
      <c r="A94" s="350" t="s">
        <v>210</v>
      </c>
      <c r="B94" s="546">
        <v>1.98</v>
      </c>
      <c r="C94" s="282" t="s">
        <v>15</v>
      </c>
      <c r="D94" s="551">
        <v>1.98</v>
      </c>
      <c r="E94" s="284" t="s">
        <v>15</v>
      </c>
      <c r="F94" s="285" t="s">
        <v>105</v>
      </c>
      <c r="G94" s="564" t="s">
        <v>60</v>
      </c>
      <c r="H94" s="595" t="s">
        <v>296</v>
      </c>
      <c r="I94" s="269"/>
      <c r="J94" s="270"/>
      <c r="K94" s="270"/>
    </row>
    <row r="95" spans="1:11" x14ac:dyDescent="0.25">
      <c r="A95" s="351" t="s">
        <v>107</v>
      </c>
      <c r="B95" s="338"/>
      <c r="C95" s="352"/>
      <c r="D95" s="353"/>
      <c r="E95" s="352"/>
      <c r="F95" s="354"/>
      <c r="G95" s="565"/>
      <c r="H95" s="595"/>
      <c r="I95" s="269"/>
      <c r="J95" s="270"/>
      <c r="K95" s="270"/>
    </row>
    <row r="96" spans="1:11" x14ac:dyDescent="0.25">
      <c r="A96" s="358" t="s">
        <v>75</v>
      </c>
      <c r="B96" s="546">
        <v>0.72</v>
      </c>
      <c r="C96" s="282" t="s">
        <v>15</v>
      </c>
      <c r="D96" s="551">
        <v>0.72</v>
      </c>
      <c r="E96" s="284" t="s">
        <v>15</v>
      </c>
      <c r="F96" s="285" t="s">
        <v>105</v>
      </c>
      <c r="G96" s="565"/>
      <c r="H96" s="595"/>
      <c r="I96" s="269"/>
      <c r="J96" s="270"/>
      <c r="K96" s="270"/>
    </row>
    <row r="97" spans="1:11" x14ac:dyDescent="0.25">
      <c r="A97" s="359" t="s">
        <v>76</v>
      </c>
      <c r="B97" s="546">
        <v>0.13</v>
      </c>
      <c r="C97" s="282" t="s">
        <v>15</v>
      </c>
      <c r="D97" s="551">
        <v>0.13</v>
      </c>
      <c r="E97" s="284" t="s">
        <v>15</v>
      </c>
      <c r="F97" s="285" t="s">
        <v>105</v>
      </c>
      <c r="G97" s="565"/>
      <c r="H97" s="595"/>
      <c r="I97" s="269"/>
      <c r="J97" s="270"/>
      <c r="K97" s="270"/>
    </row>
    <row r="98" spans="1:11" x14ac:dyDescent="0.25">
      <c r="A98" s="360" t="s">
        <v>16</v>
      </c>
      <c r="B98" s="546">
        <v>0.01</v>
      </c>
      <c r="C98" s="282" t="s">
        <v>15</v>
      </c>
      <c r="D98" s="553">
        <v>0.01</v>
      </c>
      <c r="E98" s="284" t="s">
        <v>15</v>
      </c>
      <c r="F98" s="285" t="s">
        <v>105</v>
      </c>
      <c r="G98" s="566"/>
      <c r="H98" s="595"/>
      <c r="I98" s="269"/>
      <c r="J98" s="270"/>
      <c r="K98" s="270"/>
    </row>
    <row r="99" spans="1:11" x14ac:dyDescent="0.25">
      <c r="A99" s="360" t="s">
        <v>109</v>
      </c>
      <c r="B99" s="548"/>
      <c r="C99" s="282" t="s">
        <v>15</v>
      </c>
      <c r="D99" s="357"/>
      <c r="E99" s="284" t="s">
        <v>15</v>
      </c>
      <c r="F99" s="285" t="s">
        <v>105</v>
      </c>
      <c r="G99" s="303"/>
      <c r="H99" s="595"/>
      <c r="I99" s="269"/>
      <c r="J99" s="270"/>
      <c r="K99" s="270"/>
    </row>
    <row r="100" spans="1:11" x14ac:dyDescent="0.25">
      <c r="A100" s="280" t="s">
        <v>77</v>
      </c>
      <c r="B100" s="549">
        <v>122</v>
      </c>
      <c r="C100" s="382" t="s">
        <v>22</v>
      </c>
      <c r="D100" s="523">
        <v>122</v>
      </c>
      <c r="E100" s="382" t="s">
        <v>22</v>
      </c>
      <c r="F100" s="285" t="s">
        <v>106</v>
      </c>
      <c r="G100" s="286"/>
      <c r="H100" s="595"/>
      <c r="I100" s="269"/>
      <c r="J100" s="270"/>
      <c r="K100" s="270"/>
    </row>
    <row r="101" spans="1:11" ht="45" x14ac:dyDescent="0.25">
      <c r="A101" s="280" t="s">
        <v>78</v>
      </c>
      <c r="B101" s="550">
        <f>((B94*B$75)+(B96*((B$77+B$78+B$79)/COUNTIF(B$77:B$79,"&gt;0")))+(B97*B$80)+(B98*B$81)+(B99*B$82))*B100</f>
        <v>48.90750352941177</v>
      </c>
      <c r="C101" s="382" t="s">
        <v>13</v>
      </c>
      <c r="D101" s="550">
        <f>((D94*D$75)+(D96*((D$77+D$78+D$79)/COUNTIF(D$77:D$79,"&gt;0")))+(D97*D$80)+(D98*D$81)+(D99*D$82))*D100</f>
        <v>48.90750352941177</v>
      </c>
      <c r="E101" s="382" t="s">
        <v>13</v>
      </c>
      <c r="F101" s="285" t="s">
        <v>44</v>
      </c>
      <c r="G101" s="303" t="s">
        <v>258</v>
      </c>
      <c r="H101" s="595"/>
      <c r="I101" s="269"/>
      <c r="J101" s="270"/>
      <c r="K101" s="270"/>
    </row>
    <row r="102" spans="1:11" x14ac:dyDescent="0.25">
      <c r="A102" s="344" t="s">
        <v>172</v>
      </c>
      <c r="B102" s="345"/>
      <c r="C102" s="346"/>
      <c r="D102" s="347"/>
      <c r="E102" s="346"/>
      <c r="F102" s="348"/>
      <c r="G102" s="349"/>
      <c r="H102" s="518"/>
      <c r="I102" s="269"/>
      <c r="J102" s="270"/>
      <c r="K102" s="270"/>
    </row>
    <row r="103" spans="1:11" x14ac:dyDescent="0.25">
      <c r="A103" s="350" t="s">
        <v>210</v>
      </c>
      <c r="B103" s="546">
        <v>2.2000000000000002</v>
      </c>
      <c r="C103" s="282" t="s">
        <v>15</v>
      </c>
      <c r="D103" s="551">
        <v>2.2000000000000002</v>
      </c>
      <c r="E103" s="284" t="s">
        <v>15</v>
      </c>
      <c r="F103" s="285" t="s">
        <v>105</v>
      </c>
      <c r="G103" s="564" t="s">
        <v>60</v>
      </c>
      <c r="H103" s="595" t="s">
        <v>296</v>
      </c>
      <c r="I103" s="269"/>
      <c r="J103" s="270"/>
      <c r="K103" s="270"/>
    </row>
    <row r="104" spans="1:11" x14ac:dyDescent="0.25">
      <c r="A104" s="280" t="s">
        <v>75</v>
      </c>
      <c r="B104" s="546">
        <v>1.1200000000000001</v>
      </c>
      <c r="C104" s="282" t="s">
        <v>15</v>
      </c>
      <c r="D104" s="551">
        <v>1.1200000000000001</v>
      </c>
      <c r="E104" s="284" t="s">
        <v>15</v>
      </c>
      <c r="F104" s="285" t="s">
        <v>105</v>
      </c>
      <c r="G104" s="565"/>
      <c r="H104" s="595"/>
      <c r="I104" s="269"/>
      <c r="J104" s="270"/>
      <c r="K104" s="270"/>
    </row>
    <row r="105" spans="1:11" x14ac:dyDescent="0.25">
      <c r="A105" s="361" t="s">
        <v>76</v>
      </c>
      <c r="B105" s="546">
        <v>0</v>
      </c>
      <c r="C105" s="282" t="s">
        <v>15</v>
      </c>
      <c r="D105" s="551">
        <v>0</v>
      </c>
      <c r="E105" s="284" t="s">
        <v>15</v>
      </c>
      <c r="F105" s="285" t="s">
        <v>105</v>
      </c>
      <c r="G105" s="565"/>
      <c r="H105" s="595"/>
      <c r="I105" s="269"/>
      <c r="J105" s="270"/>
      <c r="K105" s="270"/>
    </row>
    <row r="106" spans="1:11" x14ac:dyDescent="0.25">
      <c r="A106" s="280" t="s">
        <v>16</v>
      </c>
      <c r="B106" s="546">
        <v>0.01</v>
      </c>
      <c r="C106" s="282" t="s">
        <v>15</v>
      </c>
      <c r="D106" s="551">
        <v>0.01</v>
      </c>
      <c r="E106" s="284" t="s">
        <v>15</v>
      </c>
      <c r="F106" s="285" t="s">
        <v>105</v>
      </c>
      <c r="G106" s="566"/>
      <c r="H106" s="595"/>
      <c r="I106" s="269"/>
      <c r="J106" s="270"/>
      <c r="K106" s="270"/>
    </row>
    <row r="107" spans="1:11" x14ac:dyDescent="0.25">
      <c r="A107" s="280" t="s">
        <v>77</v>
      </c>
      <c r="B107" s="549">
        <v>121</v>
      </c>
      <c r="C107" s="382" t="s">
        <v>22</v>
      </c>
      <c r="D107" s="523">
        <v>121</v>
      </c>
      <c r="E107" s="382" t="s">
        <v>22</v>
      </c>
      <c r="F107" s="285" t="s">
        <v>106</v>
      </c>
      <c r="G107" s="286"/>
      <c r="H107" s="595"/>
      <c r="I107" s="269"/>
      <c r="J107" s="270"/>
      <c r="K107" s="270"/>
    </row>
    <row r="108" spans="1:11" ht="45" x14ac:dyDescent="0.25">
      <c r="A108" s="280" t="s">
        <v>78</v>
      </c>
      <c r="B108" s="550">
        <f>((B103*B$75)+(B104*((B$77+B$78+B$79)/COUNTIF(B$77:B$79,"&gt;0")))+(B105*B$80)+(B106*B$81))*B107</f>
        <v>49.847183725490204</v>
      </c>
      <c r="C108" s="382" t="s">
        <v>13</v>
      </c>
      <c r="D108" s="550">
        <f>((D103*D$75)+(D104*((D$77+D$78+D$79)/COUNTIF(D$77:D$79,"&gt;0")))+(D105*D$80)+(D106*D$81))*D107</f>
        <v>49.847183725490204</v>
      </c>
      <c r="E108" s="382" t="s">
        <v>13</v>
      </c>
      <c r="F108" s="285" t="s">
        <v>44</v>
      </c>
      <c r="G108" s="303" t="s">
        <v>257</v>
      </c>
      <c r="H108" s="595"/>
      <c r="I108" s="269"/>
      <c r="J108" s="270"/>
      <c r="K108" s="270"/>
    </row>
    <row r="109" spans="1:11" ht="18.75" x14ac:dyDescent="0.25">
      <c r="A109" s="626" t="s">
        <v>42</v>
      </c>
      <c r="B109" s="292"/>
      <c r="C109" s="293"/>
      <c r="D109" s="294"/>
      <c r="E109" s="293"/>
      <c r="F109" s="295"/>
      <c r="G109" s="296"/>
      <c r="H109" s="511"/>
      <c r="I109" s="269"/>
      <c r="J109" s="270"/>
      <c r="K109" s="270"/>
    </row>
    <row r="110" spans="1:11" x14ac:dyDescent="0.25">
      <c r="A110" s="344" t="s">
        <v>171</v>
      </c>
      <c r="B110" s="345"/>
      <c r="C110" s="346"/>
      <c r="D110" s="347"/>
      <c r="E110" s="346"/>
      <c r="F110" s="348"/>
      <c r="G110" s="349"/>
      <c r="H110" s="518"/>
      <c r="I110" s="269"/>
      <c r="J110" s="270"/>
      <c r="K110" s="270"/>
    </row>
    <row r="111" spans="1:11" x14ac:dyDescent="0.25">
      <c r="A111" s="350" t="s">
        <v>210</v>
      </c>
      <c r="B111" s="536">
        <v>0.3</v>
      </c>
      <c r="C111" s="282" t="s">
        <v>15</v>
      </c>
      <c r="D111" s="542">
        <v>0.3</v>
      </c>
      <c r="E111" s="284" t="s">
        <v>15</v>
      </c>
      <c r="F111" s="285" t="s">
        <v>105</v>
      </c>
      <c r="G111" s="564" t="s">
        <v>60</v>
      </c>
      <c r="H111" s="595" t="s">
        <v>297</v>
      </c>
      <c r="I111" s="269"/>
      <c r="J111" s="270"/>
      <c r="K111" s="270"/>
    </row>
    <row r="112" spans="1:11" x14ac:dyDescent="0.25">
      <c r="A112" s="351" t="s">
        <v>107</v>
      </c>
      <c r="B112" s="338"/>
      <c r="C112" s="352"/>
      <c r="D112" s="353"/>
      <c r="E112" s="352"/>
      <c r="F112" s="354"/>
      <c r="G112" s="565"/>
      <c r="H112" s="595"/>
      <c r="I112" s="269"/>
      <c r="J112" s="270"/>
      <c r="K112" s="270"/>
    </row>
    <row r="113" spans="1:13" x14ac:dyDescent="0.25">
      <c r="A113" s="360" t="s">
        <v>75</v>
      </c>
      <c r="B113" s="537">
        <v>1</v>
      </c>
      <c r="C113" s="282" t="s">
        <v>15</v>
      </c>
      <c r="D113" s="543">
        <v>1</v>
      </c>
      <c r="E113" s="284" t="s">
        <v>15</v>
      </c>
      <c r="F113" s="285" t="s">
        <v>105</v>
      </c>
      <c r="G113" s="565"/>
      <c r="H113" s="595"/>
      <c r="I113" s="269"/>
      <c r="J113" s="270"/>
      <c r="K113" s="270"/>
    </row>
    <row r="114" spans="1:13" x14ac:dyDescent="0.25">
      <c r="A114" s="359" t="s">
        <v>76</v>
      </c>
      <c r="B114" s="536">
        <v>0.2</v>
      </c>
      <c r="C114" s="282" t="s">
        <v>15</v>
      </c>
      <c r="D114" s="542">
        <v>0.2</v>
      </c>
      <c r="E114" s="284" t="s">
        <v>15</v>
      </c>
      <c r="F114" s="285" t="s">
        <v>105</v>
      </c>
      <c r="G114" s="565"/>
      <c r="H114" s="595"/>
      <c r="I114" s="269"/>
      <c r="J114" s="270"/>
      <c r="K114" s="270"/>
    </row>
    <row r="115" spans="1:13" x14ac:dyDescent="0.25">
      <c r="A115" s="360" t="s">
        <v>16</v>
      </c>
      <c r="B115" s="538">
        <v>0.01</v>
      </c>
      <c r="C115" s="282" t="s">
        <v>15</v>
      </c>
      <c r="D115" s="544">
        <v>0.01</v>
      </c>
      <c r="E115" s="284" t="s">
        <v>15</v>
      </c>
      <c r="F115" s="285" t="s">
        <v>105</v>
      </c>
      <c r="G115" s="566"/>
      <c r="H115" s="595"/>
      <c r="I115" s="269"/>
      <c r="J115" s="270"/>
      <c r="K115" s="270"/>
    </row>
    <row r="116" spans="1:13" x14ac:dyDescent="0.25">
      <c r="A116" s="360" t="s">
        <v>109</v>
      </c>
      <c r="B116" s="539"/>
      <c r="C116" s="282" t="s">
        <v>15</v>
      </c>
      <c r="D116" s="357"/>
      <c r="E116" s="284" t="s">
        <v>15</v>
      </c>
      <c r="F116" s="285" t="s">
        <v>105</v>
      </c>
      <c r="G116" s="303"/>
      <c r="H116" s="595"/>
      <c r="I116" s="269"/>
      <c r="J116" s="270"/>
      <c r="K116" s="270"/>
    </row>
    <row r="117" spans="1:13" x14ac:dyDescent="0.25">
      <c r="A117" s="280" t="s">
        <v>77</v>
      </c>
      <c r="B117" s="540">
        <v>47</v>
      </c>
      <c r="C117" s="382" t="s">
        <v>22</v>
      </c>
      <c r="D117" s="545">
        <v>47</v>
      </c>
      <c r="E117" s="382" t="s">
        <v>22</v>
      </c>
      <c r="F117" s="285" t="s">
        <v>106</v>
      </c>
      <c r="G117" s="286"/>
      <c r="H117" s="595"/>
      <c r="I117" s="269"/>
      <c r="J117" s="270"/>
      <c r="K117" s="270"/>
    </row>
    <row r="118" spans="1:13" ht="45" x14ac:dyDescent="0.25">
      <c r="A118" s="280" t="s">
        <v>79</v>
      </c>
      <c r="B118" s="541">
        <f>((B111*B$75)+(B113*((B$77+B$78+B$79)/COUNTIF(B$77:B$79,"&gt;0")))+(B114*B$80)+(B115*B$81)+(B116*B$82))*B117</f>
        <v>17.6508868627451</v>
      </c>
      <c r="C118" s="382" t="s">
        <v>80</v>
      </c>
      <c r="D118" s="541">
        <f>((D111*D$75)+(D113*((D$77+D$78+D$79)/COUNTIF(D$77:D$79,"&gt;0")))+(D114*D$80)+(D115*D$81)+(D116*D$82))*D117</f>
        <v>17.6508868627451</v>
      </c>
      <c r="E118" s="382" t="s">
        <v>80</v>
      </c>
      <c r="F118" s="305" t="s">
        <v>44</v>
      </c>
      <c r="G118" s="303" t="s">
        <v>259</v>
      </c>
      <c r="H118" s="595"/>
      <c r="I118" s="269"/>
      <c r="J118" s="270"/>
      <c r="K118" s="297"/>
      <c r="L118" s="298"/>
    </row>
    <row r="119" spans="1:13" x14ac:dyDescent="0.25">
      <c r="A119" s="344" t="s">
        <v>173</v>
      </c>
      <c r="B119" s="345"/>
      <c r="C119" s="346"/>
      <c r="D119" s="347"/>
      <c r="E119" s="346"/>
      <c r="F119" s="348"/>
      <c r="G119" s="349"/>
      <c r="H119" s="518"/>
      <c r="I119" s="269"/>
      <c r="J119" s="297"/>
      <c r="K119" s="297"/>
      <c r="L119" s="298"/>
    </row>
    <row r="120" spans="1:13" x14ac:dyDescent="0.25">
      <c r="A120" s="350" t="s">
        <v>210</v>
      </c>
      <c r="B120" s="536">
        <v>1.1000000000000001</v>
      </c>
      <c r="C120" s="282" t="s">
        <v>15</v>
      </c>
      <c r="D120" s="542">
        <v>1.1000000000000001</v>
      </c>
      <c r="E120" s="284" t="s">
        <v>15</v>
      </c>
      <c r="F120" s="285" t="s">
        <v>105</v>
      </c>
      <c r="G120" s="564" t="s">
        <v>60</v>
      </c>
      <c r="H120" s="595" t="s">
        <v>297</v>
      </c>
      <c r="I120" s="269"/>
      <c r="J120" s="297"/>
      <c r="K120" s="297"/>
      <c r="L120" s="298"/>
    </row>
    <row r="121" spans="1:13" x14ac:dyDescent="0.25">
      <c r="A121" s="351" t="s">
        <v>107</v>
      </c>
      <c r="B121" s="338"/>
      <c r="C121" s="352"/>
      <c r="D121" s="353"/>
      <c r="E121" s="352"/>
      <c r="F121" s="354"/>
      <c r="G121" s="565"/>
      <c r="H121" s="595"/>
      <c r="I121" s="269"/>
      <c r="J121" s="270"/>
      <c r="K121" s="270"/>
    </row>
    <row r="122" spans="1:13" x14ac:dyDescent="0.25">
      <c r="A122" s="360" t="s">
        <v>75</v>
      </c>
      <c r="B122" s="536">
        <v>0.49</v>
      </c>
      <c r="C122" s="282" t="s">
        <v>15</v>
      </c>
      <c r="D122" s="542">
        <v>0.49</v>
      </c>
      <c r="E122" s="284" t="s">
        <v>15</v>
      </c>
      <c r="F122" s="285" t="s">
        <v>105</v>
      </c>
      <c r="G122" s="565"/>
      <c r="H122" s="595"/>
      <c r="I122" s="269"/>
      <c r="J122" s="270"/>
      <c r="K122" s="270"/>
    </row>
    <row r="123" spans="1:13" x14ac:dyDescent="0.25">
      <c r="A123" s="359" t="s">
        <v>76</v>
      </c>
      <c r="B123" s="536">
        <v>0.1</v>
      </c>
      <c r="C123" s="282" t="s">
        <v>15</v>
      </c>
      <c r="D123" s="542">
        <v>0.1</v>
      </c>
      <c r="E123" s="284" t="s">
        <v>15</v>
      </c>
      <c r="F123" s="285" t="s">
        <v>105</v>
      </c>
      <c r="G123" s="565"/>
      <c r="H123" s="595"/>
      <c r="I123" s="269"/>
      <c r="J123" s="270"/>
      <c r="K123" s="270"/>
    </row>
    <row r="124" spans="1:13" x14ac:dyDescent="0.25">
      <c r="A124" s="360" t="s">
        <v>16</v>
      </c>
      <c r="B124" s="538">
        <v>0.01</v>
      </c>
      <c r="C124" s="282" t="s">
        <v>15</v>
      </c>
      <c r="D124" s="544">
        <v>0.01</v>
      </c>
      <c r="E124" s="284" t="s">
        <v>15</v>
      </c>
      <c r="F124" s="285" t="s">
        <v>105</v>
      </c>
      <c r="G124" s="566"/>
      <c r="H124" s="595"/>
      <c r="I124" s="269"/>
      <c r="J124" s="270"/>
      <c r="K124" s="270"/>
    </row>
    <row r="125" spans="1:13" x14ac:dyDescent="0.25">
      <c r="A125" s="358" t="s">
        <v>109</v>
      </c>
      <c r="B125" s="539"/>
      <c r="C125" s="282" t="s">
        <v>15</v>
      </c>
      <c r="D125" s="357"/>
      <c r="E125" s="284" t="s">
        <v>15</v>
      </c>
      <c r="F125" s="285" t="s">
        <v>105</v>
      </c>
      <c r="G125" s="303"/>
      <c r="H125" s="595"/>
      <c r="I125" s="269"/>
      <c r="J125" s="270"/>
      <c r="K125" s="270"/>
    </row>
    <row r="126" spans="1:13" x14ac:dyDescent="0.25">
      <c r="A126" s="280" t="s">
        <v>77</v>
      </c>
      <c r="B126" s="540">
        <v>122</v>
      </c>
      <c r="C126" s="382" t="s">
        <v>22</v>
      </c>
      <c r="D126" s="545">
        <v>122</v>
      </c>
      <c r="E126" s="382" t="s">
        <v>22</v>
      </c>
      <c r="F126" s="285" t="s">
        <v>106</v>
      </c>
      <c r="G126" s="286"/>
      <c r="H126" s="595"/>
      <c r="I126" s="269"/>
      <c r="J126" s="270"/>
      <c r="K126" s="270"/>
    </row>
    <row r="127" spans="1:13" ht="45" x14ac:dyDescent="0.25">
      <c r="A127" s="280" t="s">
        <v>79</v>
      </c>
      <c r="B127" s="541">
        <f>((B120*B$75)+(B122*((B$77+B$78+B$79)/COUNTIF(B$77:B$79,"&gt;0")))+(B123*B$80)+(B124*B$81)+(B125*B$82))*B126</f>
        <v>32.315168627450987</v>
      </c>
      <c r="C127" s="382" t="s">
        <v>80</v>
      </c>
      <c r="D127" s="541">
        <f>((D120*D$75)+(D122*((D$77+D$78+D$79)/COUNTIF(D$77:D$79,"&gt;0")))+(D123*D$80)+(D124*D$81)+(D125*D$82))*D126</f>
        <v>32.315168627450987</v>
      </c>
      <c r="E127" s="382" t="s">
        <v>80</v>
      </c>
      <c r="F127" s="305" t="s">
        <v>44</v>
      </c>
      <c r="G127" s="303" t="s">
        <v>260</v>
      </c>
      <c r="H127" s="595"/>
      <c r="I127" s="269"/>
      <c r="J127" s="270"/>
      <c r="K127" s="270"/>
    </row>
    <row r="128" spans="1:13" ht="18.75" x14ac:dyDescent="0.25">
      <c r="A128" s="291" t="s">
        <v>38</v>
      </c>
      <c r="B128" s="292"/>
      <c r="C128" s="293"/>
      <c r="D128" s="294"/>
      <c r="E128" s="293"/>
      <c r="F128" s="295"/>
      <c r="G128" s="296"/>
      <c r="H128" s="511"/>
      <c r="I128" s="269"/>
      <c r="J128" s="297"/>
      <c r="K128" s="297"/>
      <c r="L128" s="297"/>
      <c r="M128" s="297"/>
    </row>
    <row r="129" spans="1:13" hidden="1" x14ac:dyDescent="0.25">
      <c r="A129" s="363" t="s">
        <v>39</v>
      </c>
      <c r="B129" s="345"/>
      <c r="C129" s="346"/>
      <c r="D129" s="347"/>
      <c r="E129" s="346"/>
      <c r="F129" s="348"/>
      <c r="G129" s="567" t="s">
        <v>221</v>
      </c>
      <c r="H129" s="519"/>
      <c r="I129" s="270"/>
      <c r="J129" s="377"/>
      <c r="K129" s="377"/>
      <c r="L129" s="377"/>
      <c r="M129" s="297"/>
    </row>
    <row r="130" spans="1:13" hidden="1" x14ac:dyDescent="0.25">
      <c r="A130" s="364" t="s">
        <v>13</v>
      </c>
      <c r="B130" s="365">
        <v>56.76</v>
      </c>
      <c r="C130" s="366" t="s">
        <v>13</v>
      </c>
      <c r="D130" s="367">
        <v>56.76</v>
      </c>
      <c r="E130" s="366" t="s">
        <v>13</v>
      </c>
      <c r="F130" s="368" t="s">
        <v>106</v>
      </c>
      <c r="G130" s="567"/>
      <c r="H130" s="519"/>
      <c r="I130" s="270"/>
      <c r="J130" s="375"/>
      <c r="K130" s="375"/>
      <c r="L130" s="375"/>
      <c r="M130" s="297"/>
    </row>
    <row r="131" spans="1:13" hidden="1" x14ac:dyDescent="0.25">
      <c r="A131" s="364" t="s">
        <v>81</v>
      </c>
      <c r="B131" s="365">
        <v>1.4552</v>
      </c>
      <c r="C131" s="366" t="s">
        <v>14</v>
      </c>
      <c r="D131" s="367">
        <v>1.4552</v>
      </c>
      <c r="E131" s="366" t="s">
        <v>14</v>
      </c>
      <c r="F131" s="368" t="s">
        <v>106</v>
      </c>
      <c r="G131" s="567"/>
      <c r="H131" s="519"/>
      <c r="I131" s="270"/>
      <c r="J131" s="375"/>
      <c r="K131" s="375"/>
      <c r="L131" s="375"/>
      <c r="M131" s="297"/>
    </row>
    <row r="132" spans="1:13" hidden="1" x14ac:dyDescent="0.25">
      <c r="A132" s="363" t="s">
        <v>40</v>
      </c>
      <c r="B132" s="345"/>
      <c r="C132" s="346"/>
      <c r="D132" s="347"/>
      <c r="E132" s="346"/>
      <c r="F132" s="348"/>
      <c r="G132" s="567"/>
      <c r="H132" s="519"/>
      <c r="I132" s="270"/>
      <c r="J132" s="375"/>
      <c r="K132" s="375"/>
      <c r="L132" s="375"/>
      <c r="M132" s="297"/>
    </row>
    <row r="133" spans="1:13" hidden="1" x14ac:dyDescent="0.25">
      <c r="A133" s="364" t="s">
        <v>13</v>
      </c>
      <c r="B133" s="365">
        <v>19.78</v>
      </c>
      <c r="C133" s="366" t="s">
        <v>13</v>
      </c>
      <c r="D133" s="367">
        <v>19.78</v>
      </c>
      <c r="E133" s="366" t="s">
        <v>13</v>
      </c>
      <c r="F133" s="368" t="s">
        <v>106</v>
      </c>
      <c r="G133" s="567"/>
      <c r="H133" s="519"/>
      <c r="I133" s="270"/>
      <c r="J133" s="375"/>
      <c r="K133" s="375"/>
      <c r="L133" s="375"/>
      <c r="M133" s="297"/>
    </row>
    <row r="134" spans="1:13" hidden="1" x14ac:dyDescent="0.25">
      <c r="A134" s="364" t="s">
        <v>81</v>
      </c>
      <c r="B134" s="365">
        <v>0.56689999999999996</v>
      </c>
      <c r="C134" s="366" t="s">
        <v>14</v>
      </c>
      <c r="D134" s="367">
        <v>0.56689999999999996</v>
      </c>
      <c r="E134" s="366" t="s">
        <v>14</v>
      </c>
      <c r="F134" s="368" t="s">
        <v>106</v>
      </c>
      <c r="G134" s="567"/>
      <c r="H134" s="519"/>
      <c r="I134" s="270"/>
      <c r="J134" s="375"/>
      <c r="K134" s="375"/>
      <c r="L134" s="375"/>
      <c r="M134" s="297"/>
    </row>
    <row r="135" spans="1:13" hidden="1" x14ac:dyDescent="0.25">
      <c r="A135" s="306" t="s">
        <v>41</v>
      </c>
      <c r="B135" s="365">
        <v>36.979999999999997</v>
      </c>
      <c r="C135" s="366" t="s">
        <v>13</v>
      </c>
      <c r="D135" s="367">
        <v>36.979999999999997</v>
      </c>
      <c r="E135" s="366" t="s">
        <v>13</v>
      </c>
      <c r="F135" s="368" t="s">
        <v>106</v>
      </c>
      <c r="G135" s="567"/>
      <c r="H135" s="519"/>
      <c r="I135" s="412"/>
      <c r="J135" s="376"/>
      <c r="K135" s="376"/>
      <c r="L135" s="376"/>
      <c r="M135" s="297"/>
    </row>
    <row r="136" spans="1:13" hidden="1" x14ac:dyDescent="0.25">
      <c r="A136" s="306" t="s">
        <v>74</v>
      </c>
      <c r="B136" s="365">
        <v>0.88830000000000009</v>
      </c>
      <c r="C136" s="366" t="s">
        <v>14</v>
      </c>
      <c r="D136" s="367">
        <v>0.88830000000000009</v>
      </c>
      <c r="E136" s="366" t="s">
        <v>14</v>
      </c>
      <c r="F136" s="368" t="s">
        <v>106</v>
      </c>
      <c r="G136" s="567"/>
      <c r="H136" s="519"/>
      <c r="I136" s="412"/>
      <c r="J136" s="376"/>
      <c r="K136" s="376"/>
      <c r="L136" s="376"/>
      <c r="M136" s="297"/>
    </row>
    <row r="137" spans="1:13" x14ac:dyDescent="0.25">
      <c r="A137" s="290" t="s">
        <v>182</v>
      </c>
      <c r="B137" s="407">
        <f>B135+(B136*40)</f>
        <v>72.512</v>
      </c>
      <c r="C137" s="392" t="s">
        <v>24</v>
      </c>
      <c r="D137" s="408">
        <f>D135+(D136*40)</f>
        <v>72.512</v>
      </c>
      <c r="E137" s="382" t="s">
        <v>24</v>
      </c>
      <c r="F137" s="305" t="s">
        <v>106</v>
      </c>
      <c r="G137" s="567"/>
      <c r="H137" s="596"/>
      <c r="I137" s="412"/>
      <c r="J137" s="297"/>
      <c r="K137" s="376"/>
      <c r="L137" s="376"/>
      <c r="M137" s="297"/>
    </row>
    <row r="138" spans="1:13" x14ac:dyDescent="0.25">
      <c r="A138" s="379" t="s">
        <v>222</v>
      </c>
      <c r="B138" s="407">
        <f>B135+(B136*48.2)</f>
        <v>79.796060000000011</v>
      </c>
      <c r="C138" s="392" t="s">
        <v>24</v>
      </c>
      <c r="D138" s="408">
        <f>D135+(D136*48.2)</f>
        <v>79.796060000000011</v>
      </c>
      <c r="E138" s="382" t="s">
        <v>24</v>
      </c>
      <c r="F138" s="305" t="s">
        <v>106</v>
      </c>
      <c r="G138" s="567"/>
      <c r="H138" s="596"/>
      <c r="I138" s="412"/>
      <c r="J138" s="297"/>
      <c r="K138" s="376"/>
      <c r="L138" s="376"/>
      <c r="M138" s="297"/>
    </row>
    <row r="139" spans="1:13" x14ac:dyDescent="0.25">
      <c r="A139" s="283" t="s">
        <v>223</v>
      </c>
      <c r="B139" s="407">
        <f>+B133+(B134*40)</f>
        <v>42.456000000000003</v>
      </c>
      <c r="C139" s="392" t="s">
        <v>24</v>
      </c>
      <c r="D139" s="408">
        <f>+D133+(D134*40)</f>
        <v>42.456000000000003</v>
      </c>
      <c r="E139" s="382" t="s">
        <v>24</v>
      </c>
      <c r="F139" s="305" t="s">
        <v>106</v>
      </c>
      <c r="G139" s="567"/>
      <c r="H139" s="596"/>
      <c r="J139" s="297"/>
      <c r="K139" s="378"/>
      <c r="L139" s="378"/>
      <c r="M139" s="297"/>
    </row>
    <row r="140" spans="1:13" ht="15.75" thickBot="1" x14ac:dyDescent="0.3">
      <c r="A140" s="380" t="s">
        <v>224</v>
      </c>
      <c r="B140" s="409">
        <f>+B133+(B134*48.2)</f>
        <v>47.104579999999999</v>
      </c>
      <c r="C140" s="410" t="s">
        <v>24</v>
      </c>
      <c r="D140" s="411">
        <f>+D133+(D134*48.2)</f>
        <v>47.104579999999999</v>
      </c>
      <c r="E140" s="406" t="s">
        <v>24</v>
      </c>
      <c r="F140" s="369" t="s">
        <v>106</v>
      </c>
      <c r="G140" s="568"/>
      <c r="H140" s="597"/>
      <c r="J140" s="297"/>
      <c r="K140" s="378"/>
      <c r="L140" s="378"/>
      <c r="M140" s="297"/>
    </row>
    <row r="141" spans="1:13" x14ac:dyDescent="0.25">
      <c r="B141" s="371"/>
      <c r="J141" s="297"/>
      <c r="K141" s="297"/>
      <c r="L141" s="297"/>
      <c r="M141" s="297"/>
    </row>
    <row r="142" spans="1:13" x14ac:dyDescent="0.25">
      <c r="B142" s="371"/>
    </row>
    <row r="144" spans="1:13" x14ac:dyDescent="0.25">
      <c r="B144" s="374"/>
    </row>
  </sheetData>
  <sheetProtection algorithmName="SHA-512" hashValue="r+rwZXRtaV0PH+PjBY+5u7ILj8D8TERhie2D5+GMhOd5QEkaZQhcRApsPmsbK2Y4hZnMKj5aVcKKUjn0dESA0Q==" saltValue="MLF3yC6x4uszwxUn7NH32A==" spinCount="100000" sheet="1" objects="1" scenarios="1"/>
  <mergeCells count="38">
    <mergeCell ref="H120:H127"/>
    <mergeCell ref="H137:H140"/>
    <mergeCell ref="H73:H82"/>
    <mergeCell ref="H85:H92"/>
    <mergeCell ref="H94:H101"/>
    <mergeCell ref="H103:H108"/>
    <mergeCell ref="H111:H118"/>
    <mergeCell ref="H1:H3"/>
    <mergeCell ref="H9:H18"/>
    <mergeCell ref="H20:H31"/>
    <mergeCell ref="H56:H71"/>
    <mergeCell ref="H39:H41"/>
    <mergeCell ref="H37:H38"/>
    <mergeCell ref="G20:G26"/>
    <mergeCell ref="G29:G30"/>
    <mergeCell ref="G56:G67"/>
    <mergeCell ref="G111:G115"/>
    <mergeCell ref="G40:G41"/>
    <mergeCell ref="G77:G82"/>
    <mergeCell ref="G94:G98"/>
    <mergeCell ref="G103:G106"/>
    <mergeCell ref="G85:G89"/>
    <mergeCell ref="G120:G124"/>
    <mergeCell ref="G129:G140"/>
    <mergeCell ref="A1:A3"/>
    <mergeCell ref="G49:G50"/>
    <mergeCell ref="G47:G48"/>
    <mergeCell ref="G44:G45"/>
    <mergeCell ref="G15:G16"/>
    <mergeCell ref="G13:G14"/>
    <mergeCell ref="G9:G10"/>
    <mergeCell ref="B1:C1"/>
    <mergeCell ref="D2:E2"/>
    <mergeCell ref="F2:F3"/>
    <mergeCell ref="G2:G3"/>
    <mergeCell ref="B2:B3"/>
    <mergeCell ref="C2:C3"/>
    <mergeCell ref="D1:G1"/>
  </mergeCells>
  <printOptions horizontalCentered="1"/>
  <pageMargins left="0.51181102362204722" right="0.51181102362204722" top="0.55118110236220474" bottom="0.55118110236220474" header="0.31496062992125984" footer="0.31496062992125984"/>
  <pageSetup scale="41" fitToHeight="0" orientation="landscape" r:id="rId1"/>
  <headerFooter>
    <oddFooter>&amp;C&amp;9&amp;F&amp;R&amp;9Copyright © 2018   |   SEMRPQ  &amp;K00+000llllllllllllllll</oddFooter>
  </headerFooter>
  <rowBreaks count="1" manualBreakCount="1">
    <brk id="82"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IL101"/>
  <sheetViews>
    <sheetView showGridLines="0" zoomScale="90" zoomScaleNormal="90" workbookViewId="0">
      <pane ySplit="6" topLeftCell="A7" activePane="bottomLeft" state="frozen"/>
      <selection pane="bottomLeft"/>
    </sheetView>
  </sheetViews>
  <sheetFormatPr baseColWidth="10" defaultColWidth="10.85546875" defaultRowHeight="15" x14ac:dyDescent="0.25"/>
  <cols>
    <col min="1" max="1" width="10.28515625" style="5" customWidth="1"/>
    <col min="2" max="2" width="72.5703125" style="3" customWidth="1"/>
    <col min="3" max="3" width="12" style="5" customWidth="1"/>
    <col min="4" max="5" width="15.42578125" style="3" customWidth="1"/>
    <col min="6" max="6" width="17.5703125" style="3" customWidth="1"/>
    <col min="7" max="7" width="14.85546875" style="2" hidden="1" customWidth="1"/>
    <col min="8" max="9" width="10.85546875" hidden="1" customWidth="1"/>
    <col min="10" max="10" width="3.140625" customWidth="1"/>
    <col min="11" max="12" width="15.42578125" style="3" customWidth="1"/>
    <col min="13" max="13" width="17.42578125" style="3" bestFit="1" customWidth="1"/>
    <col min="14" max="14" width="10.5703125" style="2" hidden="1" customWidth="1"/>
    <col min="15" max="16" width="10.85546875" hidden="1" customWidth="1"/>
    <col min="17" max="236" width="10.85546875" style="3" customWidth="1"/>
    <col min="237" max="237" width="9.5703125" style="3" customWidth="1"/>
    <col min="238" max="238" width="9.140625" style="3" customWidth="1"/>
    <col min="239" max="239" width="11.28515625" style="3" customWidth="1"/>
    <col min="240" max="240" width="10.85546875" style="3" customWidth="1"/>
    <col min="241" max="242" width="0" style="3" hidden="1" customWidth="1"/>
    <col min="243" max="243" width="2" style="3" customWidth="1"/>
    <col min="244" max="254" width="10.85546875" style="3"/>
    <col min="255" max="255" width="0" style="3" hidden="1" customWidth="1"/>
    <col min="256" max="256" width="19" style="3" customWidth="1"/>
    <col min="257" max="257" width="8" style="3" customWidth="1"/>
    <col min="258" max="258" width="95.140625" style="3" customWidth="1"/>
    <col min="259" max="259" width="12" style="3" customWidth="1"/>
    <col min="260" max="260" width="16.7109375" style="3" customWidth="1"/>
    <col min="261" max="262" width="26" style="3" customWidth="1"/>
    <col min="263" max="263" width="0" style="3" hidden="1" customWidth="1"/>
    <col min="264" max="492" width="10.85546875" style="3" customWidth="1"/>
    <col min="493" max="493" width="9.5703125" style="3" customWidth="1"/>
    <col min="494" max="494" width="9.140625" style="3" customWidth="1"/>
    <col min="495" max="495" width="11.28515625" style="3" customWidth="1"/>
    <col min="496" max="496" width="10.85546875" style="3" customWidth="1"/>
    <col min="497" max="498" width="0" style="3" hidden="1" customWidth="1"/>
    <col min="499" max="499" width="2" style="3" customWidth="1"/>
    <col min="500" max="510" width="10.85546875" style="3"/>
    <col min="511" max="511" width="0" style="3" hidden="1" customWidth="1"/>
    <col min="512" max="512" width="19" style="3" customWidth="1"/>
    <col min="513" max="513" width="8" style="3" customWidth="1"/>
    <col min="514" max="514" width="95.140625" style="3" customWidth="1"/>
    <col min="515" max="515" width="12" style="3" customWidth="1"/>
    <col min="516" max="516" width="16.7109375" style="3" customWidth="1"/>
    <col min="517" max="518" width="26" style="3" customWidth="1"/>
    <col min="519" max="519" width="0" style="3" hidden="1" customWidth="1"/>
    <col min="520" max="748" width="10.85546875" style="3" customWidth="1"/>
    <col min="749" max="749" width="9.5703125" style="3" customWidth="1"/>
    <col min="750" max="750" width="9.140625" style="3" customWidth="1"/>
    <col min="751" max="751" width="11.28515625" style="3" customWidth="1"/>
    <col min="752" max="752" width="10.85546875" style="3" customWidth="1"/>
    <col min="753" max="754" width="0" style="3" hidden="1" customWidth="1"/>
    <col min="755" max="755" width="2" style="3" customWidth="1"/>
    <col min="756" max="766" width="10.85546875" style="3"/>
    <col min="767" max="767" width="0" style="3" hidden="1" customWidth="1"/>
    <col min="768" max="768" width="19" style="3" customWidth="1"/>
    <col min="769" max="769" width="8" style="3" customWidth="1"/>
    <col min="770" max="770" width="95.140625" style="3" customWidth="1"/>
    <col min="771" max="771" width="12" style="3" customWidth="1"/>
    <col min="772" max="772" width="16.7109375" style="3" customWidth="1"/>
    <col min="773" max="774" width="26" style="3" customWidth="1"/>
    <col min="775" max="775" width="0" style="3" hidden="1" customWidth="1"/>
    <col min="776" max="1004" width="10.85546875" style="3" customWidth="1"/>
    <col min="1005" max="1005" width="9.5703125" style="3" customWidth="1"/>
    <col min="1006" max="1006" width="9.140625" style="3" customWidth="1"/>
    <col min="1007" max="1007" width="11.28515625" style="3" customWidth="1"/>
    <col min="1008" max="1008" width="10.85546875" style="3" customWidth="1"/>
    <col min="1009" max="1010" width="0" style="3" hidden="1" customWidth="1"/>
    <col min="1011" max="1011" width="2" style="3" customWidth="1"/>
    <col min="1012" max="1022" width="10.85546875" style="3"/>
    <col min="1023" max="1023" width="0" style="3" hidden="1" customWidth="1"/>
    <col min="1024" max="1024" width="19" style="3" customWidth="1"/>
    <col min="1025" max="1025" width="8" style="3" customWidth="1"/>
    <col min="1026" max="1026" width="95.140625" style="3" customWidth="1"/>
    <col min="1027" max="1027" width="12" style="3" customWidth="1"/>
    <col min="1028" max="1028" width="16.7109375" style="3" customWidth="1"/>
    <col min="1029" max="1030" width="26" style="3" customWidth="1"/>
    <col min="1031" max="1031" width="0" style="3" hidden="1" customWidth="1"/>
    <col min="1032" max="1260" width="10.85546875" style="3" customWidth="1"/>
    <col min="1261" max="1261" width="9.5703125" style="3" customWidth="1"/>
    <col min="1262" max="1262" width="9.140625" style="3" customWidth="1"/>
    <col min="1263" max="1263" width="11.28515625" style="3" customWidth="1"/>
    <col min="1264" max="1264" width="10.85546875" style="3" customWidth="1"/>
    <col min="1265" max="1266" width="0" style="3" hidden="1" customWidth="1"/>
    <col min="1267" max="1267" width="2" style="3" customWidth="1"/>
    <col min="1268" max="1278" width="10.85546875" style="3"/>
    <col min="1279" max="1279" width="0" style="3" hidden="1" customWidth="1"/>
    <col min="1280" max="1280" width="19" style="3" customWidth="1"/>
    <col min="1281" max="1281" width="8" style="3" customWidth="1"/>
    <col min="1282" max="1282" width="95.140625" style="3" customWidth="1"/>
    <col min="1283" max="1283" width="12" style="3" customWidth="1"/>
    <col min="1284" max="1284" width="16.7109375" style="3" customWidth="1"/>
    <col min="1285" max="1286" width="26" style="3" customWidth="1"/>
    <col min="1287" max="1287" width="0" style="3" hidden="1" customWidth="1"/>
    <col min="1288" max="1516" width="10.85546875" style="3" customWidth="1"/>
    <col min="1517" max="1517" width="9.5703125" style="3" customWidth="1"/>
    <col min="1518" max="1518" width="9.140625" style="3" customWidth="1"/>
    <col min="1519" max="1519" width="11.28515625" style="3" customWidth="1"/>
    <col min="1520" max="1520" width="10.85546875" style="3" customWidth="1"/>
    <col min="1521" max="1522" width="0" style="3" hidden="1" customWidth="1"/>
    <col min="1523" max="1523" width="2" style="3" customWidth="1"/>
    <col min="1524" max="1534" width="10.85546875" style="3"/>
    <col min="1535" max="1535" width="0" style="3" hidden="1" customWidth="1"/>
    <col min="1536" max="1536" width="19" style="3" customWidth="1"/>
    <col min="1537" max="1537" width="8" style="3" customWidth="1"/>
    <col min="1538" max="1538" width="95.140625" style="3" customWidth="1"/>
    <col min="1539" max="1539" width="12" style="3" customWidth="1"/>
    <col min="1540" max="1540" width="16.7109375" style="3" customWidth="1"/>
    <col min="1541" max="1542" width="26" style="3" customWidth="1"/>
    <col min="1543" max="1543" width="0" style="3" hidden="1" customWidth="1"/>
    <col min="1544" max="1772" width="10.85546875" style="3" customWidth="1"/>
    <col min="1773" max="1773" width="9.5703125" style="3" customWidth="1"/>
    <col min="1774" max="1774" width="9.140625" style="3" customWidth="1"/>
    <col min="1775" max="1775" width="11.28515625" style="3" customWidth="1"/>
    <col min="1776" max="1776" width="10.85546875" style="3" customWidth="1"/>
    <col min="1777" max="1778" width="0" style="3" hidden="1" customWidth="1"/>
    <col min="1779" max="1779" width="2" style="3" customWidth="1"/>
    <col min="1780" max="1790" width="10.85546875" style="3"/>
    <col min="1791" max="1791" width="0" style="3" hidden="1" customWidth="1"/>
    <col min="1792" max="1792" width="19" style="3" customWidth="1"/>
    <col min="1793" max="1793" width="8" style="3" customWidth="1"/>
    <col min="1794" max="1794" width="95.140625" style="3" customWidth="1"/>
    <col min="1795" max="1795" width="12" style="3" customWidth="1"/>
    <col min="1796" max="1796" width="16.7109375" style="3" customWidth="1"/>
    <col min="1797" max="1798" width="26" style="3" customWidth="1"/>
    <col min="1799" max="1799" width="0" style="3" hidden="1" customWidth="1"/>
    <col min="1800" max="2028" width="10.85546875" style="3" customWidth="1"/>
    <col min="2029" max="2029" width="9.5703125" style="3" customWidth="1"/>
    <col min="2030" max="2030" width="9.140625" style="3" customWidth="1"/>
    <col min="2031" max="2031" width="11.28515625" style="3" customWidth="1"/>
    <col min="2032" max="2032" width="10.85546875" style="3" customWidth="1"/>
    <col min="2033" max="2034" width="0" style="3" hidden="1" customWidth="1"/>
    <col min="2035" max="2035" width="2" style="3" customWidth="1"/>
    <col min="2036" max="2046" width="10.85546875" style="3"/>
    <col min="2047" max="2047" width="0" style="3" hidden="1" customWidth="1"/>
    <col min="2048" max="2048" width="19" style="3" customWidth="1"/>
    <col min="2049" max="2049" width="8" style="3" customWidth="1"/>
    <col min="2050" max="2050" width="95.140625" style="3" customWidth="1"/>
    <col min="2051" max="2051" width="12" style="3" customWidth="1"/>
    <col min="2052" max="2052" width="16.7109375" style="3" customWidth="1"/>
    <col min="2053" max="2054" width="26" style="3" customWidth="1"/>
    <col min="2055" max="2055" width="0" style="3" hidden="1" customWidth="1"/>
    <col min="2056" max="2284" width="10.85546875" style="3" customWidth="1"/>
    <col min="2285" max="2285" width="9.5703125" style="3" customWidth="1"/>
    <col min="2286" max="2286" width="9.140625" style="3" customWidth="1"/>
    <col min="2287" max="2287" width="11.28515625" style="3" customWidth="1"/>
    <col min="2288" max="2288" width="10.85546875" style="3" customWidth="1"/>
    <col min="2289" max="2290" width="0" style="3" hidden="1" customWidth="1"/>
    <col min="2291" max="2291" width="2" style="3" customWidth="1"/>
    <col min="2292" max="2302" width="10.85546875" style="3"/>
    <col min="2303" max="2303" width="0" style="3" hidden="1" customWidth="1"/>
    <col min="2304" max="2304" width="19" style="3" customWidth="1"/>
    <col min="2305" max="2305" width="8" style="3" customWidth="1"/>
    <col min="2306" max="2306" width="95.140625" style="3" customWidth="1"/>
    <col min="2307" max="2307" width="12" style="3" customWidth="1"/>
    <col min="2308" max="2308" width="16.7109375" style="3" customWidth="1"/>
    <col min="2309" max="2310" width="26" style="3" customWidth="1"/>
    <col min="2311" max="2311" width="0" style="3" hidden="1" customWidth="1"/>
    <col min="2312" max="2540" width="10.85546875" style="3" customWidth="1"/>
    <col min="2541" max="2541" width="9.5703125" style="3" customWidth="1"/>
    <col min="2542" max="2542" width="9.140625" style="3" customWidth="1"/>
    <col min="2543" max="2543" width="11.28515625" style="3" customWidth="1"/>
    <col min="2544" max="2544" width="10.85546875" style="3" customWidth="1"/>
    <col min="2545" max="2546" width="0" style="3" hidden="1" customWidth="1"/>
    <col min="2547" max="2547" width="2" style="3" customWidth="1"/>
    <col min="2548" max="2558" width="10.85546875" style="3"/>
    <col min="2559" max="2559" width="0" style="3" hidden="1" customWidth="1"/>
    <col min="2560" max="2560" width="19" style="3" customWidth="1"/>
    <col min="2561" max="2561" width="8" style="3" customWidth="1"/>
    <col min="2562" max="2562" width="95.140625" style="3" customWidth="1"/>
    <col min="2563" max="2563" width="12" style="3" customWidth="1"/>
    <col min="2564" max="2564" width="16.7109375" style="3" customWidth="1"/>
    <col min="2565" max="2566" width="26" style="3" customWidth="1"/>
    <col min="2567" max="2567" width="0" style="3" hidden="1" customWidth="1"/>
    <col min="2568" max="2796" width="10.85546875" style="3" customWidth="1"/>
    <col min="2797" max="2797" width="9.5703125" style="3" customWidth="1"/>
    <col min="2798" max="2798" width="9.140625" style="3" customWidth="1"/>
    <col min="2799" max="2799" width="11.28515625" style="3" customWidth="1"/>
    <col min="2800" max="2800" width="10.85546875" style="3" customWidth="1"/>
    <col min="2801" max="2802" width="0" style="3" hidden="1" customWidth="1"/>
    <col min="2803" max="2803" width="2" style="3" customWidth="1"/>
    <col min="2804" max="2814" width="10.85546875" style="3"/>
    <col min="2815" max="2815" width="0" style="3" hidden="1" customWidth="1"/>
    <col min="2816" max="2816" width="19" style="3" customWidth="1"/>
    <col min="2817" max="2817" width="8" style="3" customWidth="1"/>
    <col min="2818" max="2818" width="95.140625" style="3" customWidth="1"/>
    <col min="2819" max="2819" width="12" style="3" customWidth="1"/>
    <col min="2820" max="2820" width="16.7109375" style="3" customWidth="1"/>
    <col min="2821" max="2822" width="26" style="3" customWidth="1"/>
    <col min="2823" max="2823" width="0" style="3" hidden="1" customWidth="1"/>
    <col min="2824" max="3052" width="10.85546875" style="3" customWidth="1"/>
    <col min="3053" max="3053" width="9.5703125" style="3" customWidth="1"/>
    <col min="3054" max="3054" width="9.140625" style="3" customWidth="1"/>
    <col min="3055" max="3055" width="11.28515625" style="3" customWidth="1"/>
    <col min="3056" max="3056" width="10.85546875" style="3" customWidth="1"/>
    <col min="3057" max="3058" width="0" style="3" hidden="1" customWidth="1"/>
    <col min="3059" max="3059" width="2" style="3" customWidth="1"/>
    <col min="3060" max="3070" width="10.85546875" style="3"/>
    <col min="3071" max="3071" width="0" style="3" hidden="1" customWidth="1"/>
    <col min="3072" max="3072" width="19" style="3" customWidth="1"/>
    <col min="3073" max="3073" width="8" style="3" customWidth="1"/>
    <col min="3074" max="3074" width="95.140625" style="3" customWidth="1"/>
    <col min="3075" max="3075" width="12" style="3" customWidth="1"/>
    <col min="3076" max="3076" width="16.7109375" style="3" customWidth="1"/>
    <col min="3077" max="3078" width="26" style="3" customWidth="1"/>
    <col min="3079" max="3079" width="0" style="3" hidden="1" customWidth="1"/>
    <col min="3080" max="3308" width="10.85546875" style="3" customWidth="1"/>
    <col min="3309" max="3309" width="9.5703125" style="3" customWidth="1"/>
    <col min="3310" max="3310" width="9.140625" style="3" customWidth="1"/>
    <col min="3311" max="3311" width="11.28515625" style="3" customWidth="1"/>
    <col min="3312" max="3312" width="10.85546875" style="3" customWidth="1"/>
    <col min="3313" max="3314" width="0" style="3" hidden="1" customWidth="1"/>
    <col min="3315" max="3315" width="2" style="3" customWidth="1"/>
    <col min="3316" max="3326" width="10.85546875" style="3"/>
    <col min="3327" max="3327" width="0" style="3" hidden="1" customWidth="1"/>
    <col min="3328" max="3328" width="19" style="3" customWidth="1"/>
    <col min="3329" max="3329" width="8" style="3" customWidth="1"/>
    <col min="3330" max="3330" width="95.140625" style="3" customWidth="1"/>
    <col min="3331" max="3331" width="12" style="3" customWidth="1"/>
    <col min="3332" max="3332" width="16.7109375" style="3" customWidth="1"/>
    <col min="3333" max="3334" width="26" style="3" customWidth="1"/>
    <col min="3335" max="3335" width="0" style="3" hidden="1" customWidth="1"/>
    <col min="3336" max="3564" width="10.85546875" style="3" customWidth="1"/>
    <col min="3565" max="3565" width="9.5703125" style="3" customWidth="1"/>
    <col min="3566" max="3566" width="9.140625" style="3" customWidth="1"/>
    <col min="3567" max="3567" width="11.28515625" style="3" customWidth="1"/>
    <col min="3568" max="3568" width="10.85546875" style="3" customWidth="1"/>
    <col min="3569" max="3570" width="0" style="3" hidden="1" customWidth="1"/>
    <col min="3571" max="3571" width="2" style="3" customWidth="1"/>
    <col min="3572" max="3582" width="10.85546875" style="3"/>
    <col min="3583" max="3583" width="0" style="3" hidden="1" customWidth="1"/>
    <col min="3584" max="3584" width="19" style="3" customWidth="1"/>
    <col min="3585" max="3585" width="8" style="3" customWidth="1"/>
    <col min="3586" max="3586" width="95.140625" style="3" customWidth="1"/>
    <col min="3587" max="3587" width="12" style="3" customWidth="1"/>
    <col min="3588" max="3588" width="16.7109375" style="3" customWidth="1"/>
    <col min="3589" max="3590" width="26" style="3" customWidth="1"/>
    <col min="3591" max="3591" width="0" style="3" hidden="1" customWidth="1"/>
    <col min="3592" max="3820" width="10.85546875" style="3" customWidth="1"/>
    <col min="3821" max="3821" width="9.5703125" style="3" customWidth="1"/>
    <col min="3822" max="3822" width="9.140625" style="3" customWidth="1"/>
    <col min="3823" max="3823" width="11.28515625" style="3" customWidth="1"/>
    <col min="3824" max="3824" width="10.85546875" style="3" customWidth="1"/>
    <col min="3825" max="3826" width="0" style="3" hidden="1" customWidth="1"/>
    <col min="3827" max="3827" width="2" style="3" customWidth="1"/>
    <col min="3828" max="3838" width="10.85546875" style="3"/>
    <col min="3839" max="3839" width="0" style="3" hidden="1" customWidth="1"/>
    <col min="3840" max="3840" width="19" style="3" customWidth="1"/>
    <col min="3841" max="3841" width="8" style="3" customWidth="1"/>
    <col min="3842" max="3842" width="95.140625" style="3" customWidth="1"/>
    <col min="3843" max="3843" width="12" style="3" customWidth="1"/>
    <col min="3844" max="3844" width="16.7109375" style="3" customWidth="1"/>
    <col min="3845" max="3846" width="26" style="3" customWidth="1"/>
    <col min="3847" max="3847" width="0" style="3" hidden="1" customWidth="1"/>
    <col min="3848" max="4076" width="10.85546875" style="3" customWidth="1"/>
    <col min="4077" max="4077" width="9.5703125" style="3" customWidth="1"/>
    <col min="4078" max="4078" width="9.140625" style="3" customWidth="1"/>
    <col min="4079" max="4079" width="11.28515625" style="3" customWidth="1"/>
    <col min="4080" max="4080" width="10.85546875" style="3" customWidth="1"/>
    <col min="4081" max="4082" width="0" style="3" hidden="1" customWidth="1"/>
    <col min="4083" max="4083" width="2" style="3" customWidth="1"/>
    <col min="4084" max="4094" width="10.85546875" style="3"/>
    <col min="4095" max="4095" width="0" style="3" hidden="1" customWidth="1"/>
    <col min="4096" max="4096" width="19" style="3" customWidth="1"/>
    <col min="4097" max="4097" width="8" style="3" customWidth="1"/>
    <col min="4098" max="4098" width="95.140625" style="3" customWidth="1"/>
    <col min="4099" max="4099" width="12" style="3" customWidth="1"/>
    <col min="4100" max="4100" width="16.7109375" style="3" customWidth="1"/>
    <col min="4101" max="4102" width="26" style="3" customWidth="1"/>
    <col min="4103" max="4103" width="0" style="3" hidden="1" customWidth="1"/>
    <col min="4104" max="4332" width="10.85546875" style="3" customWidth="1"/>
    <col min="4333" max="4333" width="9.5703125" style="3" customWidth="1"/>
    <col min="4334" max="4334" width="9.140625" style="3" customWidth="1"/>
    <col min="4335" max="4335" width="11.28515625" style="3" customWidth="1"/>
    <col min="4336" max="4336" width="10.85546875" style="3" customWidth="1"/>
    <col min="4337" max="4338" width="0" style="3" hidden="1" customWidth="1"/>
    <col min="4339" max="4339" width="2" style="3" customWidth="1"/>
    <col min="4340" max="4350" width="10.85546875" style="3"/>
    <col min="4351" max="4351" width="0" style="3" hidden="1" customWidth="1"/>
    <col min="4352" max="4352" width="19" style="3" customWidth="1"/>
    <col min="4353" max="4353" width="8" style="3" customWidth="1"/>
    <col min="4354" max="4354" width="95.140625" style="3" customWidth="1"/>
    <col min="4355" max="4355" width="12" style="3" customWidth="1"/>
    <col min="4356" max="4356" width="16.7109375" style="3" customWidth="1"/>
    <col min="4357" max="4358" width="26" style="3" customWidth="1"/>
    <col min="4359" max="4359" width="0" style="3" hidden="1" customWidth="1"/>
    <col min="4360" max="4588" width="10.85546875" style="3" customWidth="1"/>
    <col min="4589" max="4589" width="9.5703125" style="3" customWidth="1"/>
    <col min="4590" max="4590" width="9.140625" style="3" customWidth="1"/>
    <col min="4591" max="4591" width="11.28515625" style="3" customWidth="1"/>
    <col min="4592" max="4592" width="10.85546875" style="3" customWidth="1"/>
    <col min="4593" max="4594" width="0" style="3" hidden="1" customWidth="1"/>
    <col min="4595" max="4595" width="2" style="3" customWidth="1"/>
    <col min="4596" max="4606" width="10.85546875" style="3"/>
    <col min="4607" max="4607" width="0" style="3" hidden="1" customWidth="1"/>
    <col min="4608" max="4608" width="19" style="3" customWidth="1"/>
    <col min="4609" max="4609" width="8" style="3" customWidth="1"/>
    <col min="4610" max="4610" width="95.140625" style="3" customWidth="1"/>
    <col min="4611" max="4611" width="12" style="3" customWidth="1"/>
    <col min="4612" max="4612" width="16.7109375" style="3" customWidth="1"/>
    <col min="4613" max="4614" width="26" style="3" customWidth="1"/>
    <col min="4615" max="4615" width="0" style="3" hidden="1" customWidth="1"/>
    <col min="4616" max="4844" width="10.85546875" style="3" customWidth="1"/>
    <col min="4845" max="4845" width="9.5703125" style="3" customWidth="1"/>
    <col min="4846" max="4846" width="9.140625" style="3" customWidth="1"/>
    <col min="4847" max="4847" width="11.28515625" style="3" customWidth="1"/>
    <col min="4848" max="4848" width="10.85546875" style="3" customWidth="1"/>
    <col min="4849" max="4850" width="0" style="3" hidden="1" customWidth="1"/>
    <col min="4851" max="4851" width="2" style="3" customWidth="1"/>
    <col min="4852" max="4862" width="10.85546875" style="3"/>
    <col min="4863" max="4863" width="0" style="3" hidden="1" customWidth="1"/>
    <col min="4864" max="4864" width="19" style="3" customWidth="1"/>
    <col min="4865" max="4865" width="8" style="3" customWidth="1"/>
    <col min="4866" max="4866" width="95.140625" style="3" customWidth="1"/>
    <col min="4867" max="4867" width="12" style="3" customWidth="1"/>
    <col min="4868" max="4868" width="16.7109375" style="3" customWidth="1"/>
    <col min="4869" max="4870" width="26" style="3" customWidth="1"/>
    <col min="4871" max="4871" width="0" style="3" hidden="1" customWidth="1"/>
    <col min="4872" max="5100" width="10.85546875" style="3" customWidth="1"/>
    <col min="5101" max="5101" width="9.5703125" style="3" customWidth="1"/>
    <col min="5102" max="5102" width="9.140625" style="3" customWidth="1"/>
    <col min="5103" max="5103" width="11.28515625" style="3" customWidth="1"/>
    <col min="5104" max="5104" width="10.85546875" style="3" customWidth="1"/>
    <col min="5105" max="5106" width="0" style="3" hidden="1" customWidth="1"/>
    <col min="5107" max="5107" width="2" style="3" customWidth="1"/>
    <col min="5108" max="5118" width="10.85546875" style="3"/>
    <col min="5119" max="5119" width="0" style="3" hidden="1" customWidth="1"/>
    <col min="5120" max="5120" width="19" style="3" customWidth="1"/>
    <col min="5121" max="5121" width="8" style="3" customWidth="1"/>
    <col min="5122" max="5122" width="95.140625" style="3" customWidth="1"/>
    <col min="5123" max="5123" width="12" style="3" customWidth="1"/>
    <col min="5124" max="5124" width="16.7109375" style="3" customWidth="1"/>
    <col min="5125" max="5126" width="26" style="3" customWidth="1"/>
    <col min="5127" max="5127" width="0" style="3" hidden="1" customWidth="1"/>
    <col min="5128" max="5356" width="10.85546875" style="3" customWidth="1"/>
    <col min="5357" max="5357" width="9.5703125" style="3" customWidth="1"/>
    <col min="5358" max="5358" width="9.140625" style="3" customWidth="1"/>
    <col min="5359" max="5359" width="11.28515625" style="3" customWidth="1"/>
    <col min="5360" max="5360" width="10.85546875" style="3" customWidth="1"/>
    <col min="5361" max="5362" width="0" style="3" hidden="1" customWidth="1"/>
    <col min="5363" max="5363" width="2" style="3" customWidth="1"/>
    <col min="5364" max="5374" width="10.85546875" style="3"/>
    <col min="5375" max="5375" width="0" style="3" hidden="1" customWidth="1"/>
    <col min="5376" max="5376" width="19" style="3" customWidth="1"/>
    <col min="5377" max="5377" width="8" style="3" customWidth="1"/>
    <col min="5378" max="5378" width="95.140625" style="3" customWidth="1"/>
    <col min="5379" max="5379" width="12" style="3" customWidth="1"/>
    <col min="5380" max="5380" width="16.7109375" style="3" customWidth="1"/>
    <col min="5381" max="5382" width="26" style="3" customWidth="1"/>
    <col min="5383" max="5383" width="0" style="3" hidden="1" customWidth="1"/>
    <col min="5384" max="5612" width="10.85546875" style="3" customWidth="1"/>
    <col min="5613" max="5613" width="9.5703125" style="3" customWidth="1"/>
    <col min="5614" max="5614" width="9.140625" style="3" customWidth="1"/>
    <col min="5615" max="5615" width="11.28515625" style="3" customWidth="1"/>
    <col min="5616" max="5616" width="10.85546875" style="3" customWidth="1"/>
    <col min="5617" max="5618" width="0" style="3" hidden="1" customWidth="1"/>
    <col min="5619" max="5619" width="2" style="3" customWidth="1"/>
    <col min="5620" max="5630" width="10.85546875" style="3"/>
    <col min="5631" max="5631" width="0" style="3" hidden="1" customWidth="1"/>
    <col min="5632" max="5632" width="19" style="3" customWidth="1"/>
    <col min="5633" max="5633" width="8" style="3" customWidth="1"/>
    <col min="5634" max="5634" width="95.140625" style="3" customWidth="1"/>
    <col min="5635" max="5635" width="12" style="3" customWidth="1"/>
    <col min="5636" max="5636" width="16.7109375" style="3" customWidth="1"/>
    <col min="5637" max="5638" width="26" style="3" customWidth="1"/>
    <col min="5639" max="5639" width="0" style="3" hidden="1" customWidth="1"/>
    <col min="5640" max="5868" width="10.85546875" style="3" customWidth="1"/>
    <col min="5869" max="5869" width="9.5703125" style="3" customWidth="1"/>
    <col min="5870" max="5870" width="9.140625" style="3" customWidth="1"/>
    <col min="5871" max="5871" width="11.28515625" style="3" customWidth="1"/>
    <col min="5872" max="5872" width="10.85546875" style="3" customWidth="1"/>
    <col min="5873" max="5874" width="0" style="3" hidden="1" customWidth="1"/>
    <col min="5875" max="5875" width="2" style="3" customWidth="1"/>
    <col min="5876" max="5886" width="10.85546875" style="3"/>
    <col min="5887" max="5887" width="0" style="3" hidden="1" customWidth="1"/>
    <col min="5888" max="5888" width="19" style="3" customWidth="1"/>
    <col min="5889" max="5889" width="8" style="3" customWidth="1"/>
    <col min="5890" max="5890" width="95.140625" style="3" customWidth="1"/>
    <col min="5891" max="5891" width="12" style="3" customWidth="1"/>
    <col min="5892" max="5892" width="16.7109375" style="3" customWidth="1"/>
    <col min="5893" max="5894" width="26" style="3" customWidth="1"/>
    <col min="5895" max="5895" width="0" style="3" hidden="1" customWidth="1"/>
    <col min="5896" max="6124" width="10.85546875" style="3" customWidth="1"/>
    <col min="6125" max="6125" width="9.5703125" style="3" customWidth="1"/>
    <col min="6126" max="6126" width="9.140625" style="3" customWidth="1"/>
    <col min="6127" max="6127" width="11.28515625" style="3" customWidth="1"/>
    <col min="6128" max="6128" width="10.85546875" style="3" customWidth="1"/>
    <col min="6129" max="6130" width="0" style="3" hidden="1" customWidth="1"/>
    <col min="6131" max="6131" width="2" style="3" customWidth="1"/>
    <col min="6132" max="6142" width="10.85546875" style="3"/>
    <col min="6143" max="6143" width="0" style="3" hidden="1" customWidth="1"/>
    <col min="6144" max="6144" width="19" style="3" customWidth="1"/>
    <col min="6145" max="6145" width="8" style="3" customWidth="1"/>
    <col min="6146" max="6146" width="95.140625" style="3" customWidth="1"/>
    <col min="6147" max="6147" width="12" style="3" customWidth="1"/>
    <col min="6148" max="6148" width="16.7109375" style="3" customWidth="1"/>
    <col min="6149" max="6150" width="26" style="3" customWidth="1"/>
    <col min="6151" max="6151" width="0" style="3" hidden="1" customWidth="1"/>
    <col min="6152" max="6380" width="10.85546875" style="3" customWidth="1"/>
    <col min="6381" max="6381" width="9.5703125" style="3" customWidth="1"/>
    <col min="6382" max="6382" width="9.140625" style="3" customWidth="1"/>
    <col min="6383" max="6383" width="11.28515625" style="3" customWidth="1"/>
    <col min="6384" max="6384" width="10.85546875" style="3" customWidth="1"/>
    <col min="6385" max="6386" width="0" style="3" hidden="1" customWidth="1"/>
    <col min="6387" max="6387" width="2" style="3" customWidth="1"/>
    <col min="6388" max="6398" width="10.85546875" style="3"/>
    <col min="6399" max="6399" width="0" style="3" hidden="1" customWidth="1"/>
    <col min="6400" max="6400" width="19" style="3" customWidth="1"/>
    <col min="6401" max="6401" width="8" style="3" customWidth="1"/>
    <col min="6402" max="6402" width="95.140625" style="3" customWidth="1"/>
    <col min="6403" max="6403" width="12" style="3" customWidth="1"/>
    <col min="6404" max="6404" width="16.7109375" style="3" customWidth="1"/>
    <col min="6405" max="6406" width="26" style="3" customWidth="1"/>
    <col min="6407" max="6407" width="0" style="3" hidden="1" customWidth="1"/>
    <col min="6408" max="6636" width="10.85546875" style="3" customWidth="1"/>
    <col min="6637" max="6637" width="9.5703125" style="3" customWidth="1"/>
    <col min="6638" max="6638" width="9.140625" style="3" customWidth="1"/>
    <col min="6639" max="6639" width="11.28515625" style="3" customWidth="1"/>
    <col min="6640" max="6640" width="10.85546875" style="3" customWidth="1"/>
    <col min="6641" max="6642" width="0" style="3" hidden="1" customWidth="1"/>
    <col min="6643" max="6643" width="2" style="3" customWidth="1"/>
    <col min="6644" max="6654" width="10.85546875" style="3"/>
    <col min="6655" max="6655" width="0" style="3" hidden="1" customWidth="1"/>
    <col min="6656" max="6656" width="19" style="3" customWidth="1"/>
    <col min="6657" max="6657" width="8" style="3" customWidth="1"/>
    <col min="6658" max="6658" width="95.140625" style="3" customWidth="1"/>
    <col min="6659" max="6659" width="12" style="3" customWidth="1"/>
    <col min="6660" max="6660" width="16.7109375" style="3" customWidth="1"/>
    <col min="6661" max="6662" width="26" style="3" customWidth="1"/>
    <col min="6663" max="6663" width="0" style="3" hidden="1" customWidth="1"/>
    <col min="6664" max="6892" width="10.85546875" style="3" customWidth="1"/>
    <col min="6893" max="6893" width="9.5703125" style="3" customWidth="1"/>
    <col min="6894" max="6894" width="9.140625" style="3" customWidth="1"/>
    <col min="6895" max="6895" width="11.28515625" style="3" customWidth="1"/>
    <col min="6896" max="6896" width="10.85546875" style="3" customWidth="1"/>
    <col min="6897" max="6898" width="0" style="3" hidden="1" customWidth="1"/>
    <col min="6899" max="6899" width="2" style="3" customWidth="1"/>
    <col min="6900" max="6910" width="10.85546875" style="3"/>
    <col min="6911" max="6911" width="0" style="3" hidden="1" customWidth="1"/>
    <col min="6912" max="6912" width="19" style="3" customWidth="1"/>
    <col min="6913" max="6913" width="8" style="3" customWidth="1"/>
    <col min="6914" max="6914" width="95.140625" style="3" customWidth="1"/>
    <col min="6915" max="6915" width="12" style="3" customWidth="1"/>
    <col min="6916" max="6916" width="16.7109375" style="3" customWidth="1"/>
    <col min="6917" max="6918" width="26" style="3" customWidth="1"/>
    <col min="6919" max="6919" width="0" style="3" hidden="1" customWidth="1"/>
    <col min="6920" max="7148" width="10.85546875" style="3" customWidth="1"/>
    <col min="7149" max="7149" width="9.5703125" style="3" customWidth="1"/>
    <col min="7150" max="7150" width="9.140625" style="3" customWidth="1"/>
    <col min="7151" max="7151" width="11.28515625" style="3" customWidth="1"/>
    <col min="7152" max="7152" width="10.85546875" style="3" customWidth="1"/>
    <col min="7153" max="7154" width="0" style="3" hidden="1" customWidth="1"/>
    <col min="7155" max="7155" width="2" style="3" customWidth="1"/>
    <col min="7156" max="7166" width="10.85546875" style="3"/>
    <col min="7167" max="7167" width="0" style="3" hidden="1" customWidth="1"/>
    <col min="7168" max="7168" width="19" style="3" customWidth="1"/>
    <col min="7169" max="7169" width="8" style="3" customWidth="1"/>
    <col min="7170" max="7170" width="95.140625" style="3" customWidth="1"/>
    <col min="7171" max="7171" width="12" style="3" customWidth="1"/>
    <col min="7172" max="7172" width="16.7109375" style="3" customWidth="1"/>
    <col min="7173" max="7174" width="26" style="3" customWidth="1"/>
    <col min="7175" max="7175" width="0" style="3" hidden="1" customWidth="1"/>
    <col min="7176" max="7404" width="10.85546875" style="3" customWidth="1"/>
    <col min="7405" max="7405" width="9.5703125" style="3" customWidth="1"/>
    <col min="7406" max="7406" width="9.140625" style="3" customWidth="1"/>
    <col min="7407" max="7407" width="11.28515625" style="3" customWidth="1"/>
    <col min="7408" max="7408" width="10.85546875" style="3" customWidth="1"/>
    <col min="7409" max="7410" width="0" style="3" hidden="1" customWidth="1"/>
    <col min="7411" max="7411" width="2" style="3" customWidth="1"/>
    <col min="7412" max="7422" width="10.85546875" style="3"/>
    <col min="7423" max="7423" width="0" style="3" hidden="1" customWidth="1"/>
    <col min="7424" max="7424" width="19" style="3" customWidth="1"/>
    <col min="7425" max="7425" width="8" style="3" customWidth="1"/>
    <col min="7426" max="7426" width="95.140625" style="3" customWidth="1"/>
    <col min="7427" max="7427" width="12" style="3" customWidth="1"/>
    <col min="7428" max="7428" width="16.7109375" style="3" customWidth="1"/>
    <col min="7429" max="7430" width="26" style="3" customWidth="1"/>
    <col min="7431" max="7431" width="0" style="3" hidden="1" customWidth="1"/>
    <col min="7432" max="7660" width="10.85546875" style="3" customWidth="1"/>
    <col min="7661" max="7661" width="9.5703125" style="3" customWidth="1"/>
    <col min="7662" max="7662" width="9.140625" style="3" customWidth="1"/>
    <col min="7663" max="7663" width="11.28515625" style="3" customWidth="1"/>
    <col min="7664" max="7664" width="10.85546875" style="3" customWidth="1"/>
    <col min="7665" max="7666" width="0" style="3" hidden="1" customWidth="1"/>
    <col min="7667" max="7667" width="2" style="3" customWidth="1"/>
    <col min="7668" max="7678" width="10.85546875" style="3"/>
    <col min="7679" max="7679" width="0" style="3" hidden="1" customWidth="1"/>
    <col min="7680" max="7680" width="19" style="3" customWidth="1"/>
    <col min="7681" max="7681" width="8" style="3" customWidth="1"/>
    <col min="7682" max="7682" width="95.140625" style="3" customWidth="1"/>
    <col min="7683" max="7683" width="12" style="3" customWidth="1"/>
    <col min="7684" max="7684" width="16.7109375" style="3" customWidth="1"/>
    <col min="7685" max="7686" width="26" style="3" customWidth="1"/>
    <col min="7687" max="7687" width="0" style="3" hidden="1" customWidth="1"/>
    <col min="7688" max="7916" width="10.85546875" style="3" customWidth="1"/>
    <col min="7917" max="7917" width="9.5703125" style="3" customWidth="1"/>
    <col min="7918" max="7918" width="9.140625" style="3" customWidth="1"/>
    <col min="7919" max="7919" width="11.28515625" style="3" customWidth="1"/>
    <col min="7920" max="7920" width="10.85546875" style="3" customWidth="1"/>
    <col min="7921" max="7922" width="0" style="3" hidden="1" customWidth="1"/>
    <col min="7923" max="7923" width="2" style="3" customWidth="1"/>
    <col min="7924" max="7934" width="10.85546875" style="3"/>
    <col min="7935" max="7935" width="0" style="3" hidden="1" customWidth="1"/>
    <col min="7936" max="7936" width="19" style="3" customWidth="1"/>
    <col min="7937" max="7937" width="8" style="3" customWidth="1"/>
    <col min="7938" max="7938" width="95.140625" style="3" customWidth="1"/>
    <col min="7939" max="7939" width="12" style="3" customWidth="1"/>
    <col min="7940" max="7940" width="16.7109375" style="3" customWidth="1"/>
    <col min="7941" max="7942" width="26" style="3" customWidth="1"/>
    <col min="7943" max="7943" width="0" style="3" hidden="1" customWidth="1"/>
    <col min="7944" max="8172" width="10.85546875" style="3" customWidth="1"/>
    <col min="8173" max="8173" width="9.5703125" style="3" customWidth="1"/>
    <col min="8174" max="8174" width="9.140625" style="3" customWidth="1"/>
    <col min="8175" max="8175" width="11.28515625" style="3" customWidth="1"/>
    <col min="8176" max="8176" width="10.85546875" style="3" customWidth="1"/>
    <col min="8177" max="8178" width="0" style="3" hidden="1" customWidth="1"/>
    <col min="8179" max="8179" width="2" style="3" customWidth="1"/>
    <col min="8180" max="8190" width="10.85546875" style="3"/>
    <col min="8191" max="8191" width="0" style="3" hidden="1" customWidth="1"/>
    <col min="8192" max="8192" width="19" style="3" customWidth="1"/>
    <col min="8193" max="8193" width="8" style="3" customWidth="1"/>
    <col min="8194" max="8194" width="95.140625" style="3" customWidth="1"/>
    <col min="8195" max="8195" width="12" style="3" customWidth="1"/>
    <col min="8196" max="8196" width="16.7109375" style="3" customWidth="1"/>
    <col min="8197" max="8198" width="26" style="3" customWidth="1"/>
    <col min="8199" max="8199" width="0" style="3" hidden="1" customWidth="1"/>
    <col min="8200" max="8428" width="10.85546875" style="3" customWidth="1"/>
    <col min="8429" max="8429" width="9.5703125" style="3" customWidth="1"/>
    <col min="8430" max="8430" width="9.140625" style="3" customWidth="1"/>
    <col min="8431" max="8431" width="11.28515625" style="3" customWidth="1"/>
    <col min="8432" max="8432" width="10.85546875" style="3" customWidth="1"/>
    <col min="8433" max="8434" width="0" style="3" hidden="1" customWidth="1"/>
    <col min="8435" max="8435" width="2" style="3" customWidth="1"/>
    <col min="8436" max="8446" width="10.85546875" style="3"/>
    <col min="8447" max="8447" width="0" style="3" hidden="1" customWidth="1"/>
    <col min="8448" max="8448" width="19" style="3" customWidth="1"/>
    <col min="8449" max="8449" width="8" style="3" customWidth="1"/>
    <col min="8450" max="8450" width="95.140625" style="3" customWidth="1"/>
    <col min="8451" max="8451" width="12" style="3" customWidth="1"/>
    <col min="8452" max="8452" width="16.7109375" style="3" customWidth="1"/>
    <col min="8453" max="8454" width="26" style="3" customWidth="1"/>
    <col min="8455" max="8455" width="0" style="3" hidden="1" customWidth="1"/>
    <col min="8456" max="8684" width="10.85546875" style="3" customWidth="1"/>
    <col min="8685" max="8685" width="9.5703125" style="3" customWidth="1"/>
    <col min="8686" max="8686" width="9.140625" style="3" customWidth="1"/>
    <col min="8687" max="8687" width="11.28515625" style="3" customWidth="1"/>
    <col min="8688" max="8688" width="10.85546875" style="3" customWidth="1"/>
    <col min="8689" max="8690" width="0" style="3" hidden="1" customWidth="1"/>
    <col min="8691" max="8691" width="2" style="3" customWidth="1"/>
    <col min="8692" max="8702" width="10.85546875" style="3"/>
    <col min="8703" max="8703" width="0" style="3" hidden="1" customWidth="1"/>
    <col min="8704" max="8704" width="19" style="3" customWidth="1"/>
    <col min="8705" max="8705" width="8" style="3" customWidth="1"/>
    <col min="8706" max="8706" width="95.140625" style="3" customWidth="1"/>
    <col min="8707" max="8707" width="12" style="3" customWidth="1"/>
    <col min="8708" max="8708" width="16.7109375" style="3" customWidth="1"/>
    <col min="8709" max="8710" width="26" style="3" customWidth="1"/>
    <col min="8711" max="8711" width="0" style="3" hidden="1" customWidth="1"/>
    <col min="8712" max="8940" width="10.85546875" style="3" customWidth="1"/>
    <col min="8941" max="8941" width="9.5703125" style="3" customWidth="1"/>
    <col min="8942" max="8942" width="9.140625" style="3" customWidth="1"/>
    <col min="8943" max="8943" width="11.28515625" style="3" customWidth="1"/>
    <col min="8944" max="8944" width="10.85546875" style="3" customWidth="1"/>
    <col min="8945" max="8946" width="0" style="3" hidden="1" customWidth="1"/>
    <col min="8947" max="8947" width="2" style="3" customWidth="1"/>
    <col min="8948" max="8958" width="10.85546875" style="3"/>
    <col min="8959" max="8959" width="0" style="3" hidden="1" customWidth="1"/>
    <col min="8960" max="8960" width="19" style="3" customWidth="1"/>
    <col min="8961" max="8961" width="8" style="3" customWidth="1"/>
    <col min="8962" max="8962" width="95.140625" style="3" customWidth="1"/>
    <col min="8963" max="8963" width="12" style="3" customWidth="1"/>
    <col min="8964" max="8964" width="16.7109375" style="3" customWidth="1"/>
    <col min="8965" max="8966" width="26" style="3" customWidth="1"/>
    <col min="8967" max="8967" width="0" style="3" hidden="1" customWidth="1"/>
    <col min="8968" max="9196" width="10.85546875" style="3" customWidth="1"/>
    <col min="9197" max="9197" width="9.5703125" style="3" customWidth="1"/>
    <col min="9198" max="9198" width="9.140625" style="3" customWidth="1"/>
    <col min="9199" max="9199" width="11.28515625" style="3" customWidth="1"/>
    <col min="9200" max="9200" width="10.85546875" style="3" customWidth="1"/>
    <col min="9201" max="9202" width="0" style="3" hidden="1" customWidth="1"/>
    <col min="9203" max="9203" width="2" style="3" customWidth="1"/>
    <col min="9204" max="9214" width="10.85546875" style="3"/>
    <col min="9215" max="9215" width="0" style="3" hidden="1" customWidth="1"/>
    <col min="9216" max="9216" width="19" style="3" customWidth="1"/>
    <col min="9217" max="9217" width="8" style="3" customWidth="1"/>
    <col min="9218" max="9218" width="95.140625" style="3" customWidth="1"/>
    <col min="9219" max="9219" width="12" style="3" customWidth="1"/>
    <col min="9220" max="9220" width="16.7109375" style="3" customWidth="1"/>
    <col min="9221" max="9222" width="26" style="3" customWidth="1"/>
    <col min="9223" max="9223" width="0" style="3" hidden="1" customWidth="1"/>
    <col min="9224" max="9452" width="10.85546875" style="3" customWidth="1"/>
    <col min="9453" max="9453" width="9.5703125" style="3" customWidth="1"/>
    <col min="9454" max="9454" width="9.140625" style="3" customWidth="1"/>
    <col min="9455" max="9455" width="11.28515625" style="3" customWidth="1"/>
    <col min="9456" max="9456" width="10.85546875" style="3" customWidth="1"/>
    <col min="9457" max="9458" width="0" style="3" hidden="1" customWidth="1"/>
    <col min="9459" max="9459" width="2" style="3" customWidth="1"/>
    <col min="9460" max="9470" width="10.85546875" style="3"/>
    <col min="9471" max="9471" width="0" style="3" hidden="1" customWidth="1"/>
    <col min="9472" max="9472" width="19" style="3" customWidth="1"/>
    <col min="9473" max="9473" width="8" style="3" customWidth="1"/>
    <col min="9474" max="9474" width="95.140625" style="3" customWidth="1"/>
    <col min="9475" max="9475" width="12" style="3" customWidth="1"/>
    <col min="9476" max="9476" width="16.7109375" style="3" customWidth="1"/>
    <col min="9477" max="9478" width="26" style="3" customWidth="1"/>
    <col min="9479" max="9479" width="0" style="3" hidden="1" customWidth="1"/>
    <col min="9480" max="9708" width="10.85546875" style="3" customWidth="1"/>
    <col min="9709" max="9709" width="9.5703125" style="3" customWidth="1"/>
    <col min="9710" max="9710" width="9.140625" style="3" customWidth="1"/>
    <col min="9711" max="9711" width="11.28515625" style="3" customWidth="1"/>
    <col min="9712" max="9712" width="10.85546875" style="3" customWidth="1"/>
    <col min="9713" max="9714" width="0" style="3" hidden="1" customWidth="1"/>
    <col min="9715" max="9715" width="2" style="3" customWidth="1"/>
    <col min="9716" max="9726" width="10.85546875" style="3"/>
    <col min="9727" max="9727" width="0" style="3" hidden="1" customWidth="1"/>
    <col min="9728" max="9728" width="19" style="3" customWidth="1"/>
    <col min="9729" max="9729" width="8" style="3" customWidth="1"/>
    <col min="9730" max="9730" width="95.140625" style="3" customWidth="1"/>
    <col min="9731" max="9731" width="12" style="3" customWidth="1"/>
    <col min="9732" max="9732" width="16.7109375" style="3" customWidth="1"/>
    <col min="9733" max="9734" width="26" style="3" customWidth="1"/>
    <col min="9735" max="9735" width="0" style="3" hidden="1" customWidth="1"/>
    <col min="9736" max="9964" width="10.85546875" style="3" customWidth="1"/>
    <col min="9965" max="9965" width="9.5703125" style="3" customWidth="1"/>
    <col min="9966" max="9966" width="9.140625" style="3" customWidth="1"/>
    <col min="9967" max="9967" width="11.28515625" style="3" customWidth="1"/>
    <col min="9968" max="9968" width="10.85546875" style="3" customWidth="1"/>
    <col min="9969" max="9970" width="0" style="3" hidden="1" customWidth="1"/>
    <col min="9971" max="9971" width="2" style="3" customWidth="1"/>
    <col min="9972" max="9982" width="10.85546875" style="3"/>
    <col min="9983" max="9983" width="0" style="3" hidden="1" customWidth="1"/>
    <col min="9984" max="9984" width="19" style="3" customWidth="1"/>
    <col min="9985" max="9985" width="8" style="3" customWidth="1"/>
    <col min="9986" max="9986" width="95.140625" style="3" customWidth="1"/>
    <col min="9987" max="9987" width="12" style="3" customWidth="1"/>
    <col min="9988" max="9988" width="16.7109375" style="3" customWidth="1"/>
    <col min="9989" max="9990" width="26" style="3" customWidth="1"/>
    <col min="9991" max="9991" width="0" style="3" hidden="1" customWidth="1"/>
    <col min="9992" max="10220" width="10.85546875" style="3" customWidth="1"/>
    <col min="10221" max="10221" width="9.5703125" style="3" customWidth="1"/>
    <col min="10222" max="10222" width="9.140625" style="3" customWidth="1"/>
    <col min="10223" max="10223" width="11.28515625" style="3" customWidth="1"/>
    <col min="10224" max="10224" width="10.85546875" style="3" customWidth="1"/>
    <col min="10225" max="10226" width="0" style="3" hidden="1" customWidth="1"/>
    <col min="10227" max="10227" width="2" style="3" customWidth="1"/>
    <col min="10228" max="10238" width="10.85546875" style="3"/>
    <col min="10239" max="10239" width="0" style="3" hidden="1" customWidth="1"/>
    <col min="10240" max="10240" width="19" style="3" customWidth="1"/>
    <col min="10241" max="10241" width="8" style="3" customWidth="1"/>
    <col min="10242" max="10242" width="95.140625" style="3" customWidth="1"/>
    <col min="10243" max="10243" width="12" style="3" customWidth="1"/>
    <col min="10244" max="10244" width="16.7109375" style="3" customWidth="1"/>
    <col min="10245" max="10246" width="26" style="3" customWidth="1"/>
    <col min="10247" max="10247" width="0" style="3" hidden="1" customWidth="1"/>
    <col min="10248" max="10476" width="10.85546875" style="3" customWidth="1"/>
    <col min="10477" max="10477" width="9.5703125" style="3" customWidth="1"/>
    <col min="10478" max="10478" width="9.140625" style="3" customWidth="1"/>
    <col min="10479" max="10479" width="11.28515625" style="3" customWidth="1"/>
    <col min="10480" max="10480" width="10.85546875" style="3" customWidth="1"/>
    <col min="10481" max="10482" width="0" style="3" hidden="1" customWidth="1"/>
    <col min="10483" max="10483" width="2" style="3" customWidth="1"/>
    <col min="10484" max="10494" width="10.85546875" style="3"/>
    <col min="10495" max="10495" width="0" style="3" hidden="1" customWidth="1"/>
    <col min="10496" max="10496" width="19" style="3" customWidth="1"/>
    <col min="10497" max="10497" width="8" style="3" customWidth="1"/>
    <col min="10498" max="10498" width="95.140625" style="3" customWidth="1"/>
    <col min="10499" max="10499" width="12" style="3" customWidth="1"/>
    <col min="10500" max="10500" width="16.7109375" style="3" customWidth="1"/>
    <col min="10501" max="10502" width="26" style="3" customWidth="1"/>
    <col min="10503" max="10503" width="0" style="3" hidden="1" customWidth="1"/>
    <col min="10504" max="10732" width="10.85546875" style="3" customWidth="1"/>
    <col min="10733" max="10733" width="9.5703125" style="3" customWidth="1"/>
    <col min="10734" max="10734" width="9.140625" style="3" customWidth="1"/>
    <col min="10735" max="10735" width="11.28515625" style="3" customWidth="1"/>
    <col min="10736" max="10736" width="10.85546875" style="3" customWidth="1"/>
    <col min="10737" max="10738" width="0" style="3" hidden="1" customWidth="1"/>
    <col min="10739" max="10739" width="2" style="3" customWidth="1"/>
    <col min="10740" max="10750" width="10.85546875" style="3"/>
    <col min="10751" max="10751" width="0" style="3" hidden="1" customWidth="1"/>
    <col min="10752" max="10752" width="19" style="3" customWidth="1"/>
    <col min="10753" max="10753" width="8" style="3" customWidth="1"/>
    <col min="10754" max="10754" width="95.140625" style="3" customWidth="1"/>
    <col min="10755" max="10755" width="12" style="3" customWidth="1"/>
    <col min="10756" max="10756" width="16.7109375" style="3" customWidth="1"/>
    <col min="10757" max="10758" width="26" style="3" customWidth="1"/>
    <col min="10759" max="10759" width="0" style="3" hidden="1" customWidth="1"/>
    <col min="10760" max="10988" width="10.85546875" style="3" customWidth="1"/>
    <col min="10989" max="10989" width="9.5703125" style="3" customWidth="1"/>
    <col min="10990" max="10990" width="9.140625" style="3" customWidth="1"/>
    <col min="10991" max="10991" width="11.28515625" style="3" customWidth="1"/>
    <col min="10992" max="10992" width="10.85546875" style="3" customWidth="1"/>
    <col min="10993" max="10994" width="0" style="3" hidden="1" customWidth="1"/>
    <col min="10995" max="10995" width="2" style="3" customWidth="1"/>
    <col min="10996" max="11006" width="10.85546875" style="3"/>
    <col min="11007" max="11007" width="0" style="3" hidden="1" customWidth="1"/>
    <col min="11008" max="11008" width="19" style="3" customWidth="1"/>
    <col min="11009" max="11009" width="8" style="3" customWidth="1"/>
    <col min="11010" max="11010" width="95.140625" style="3" customWidth="1"/>
    <col min="11011" max="11011" width="12" style="3" customWidth="1"/>
    <col min="11012" max="11012" width="16.7109375" style="3" customWidth="1"/>
    <col min="11013" max="11014" width="26" style="3" customWidth="1"/>
    <col min="11015" max="11015" width="0" style="3" hidden="1" customWidth="1"/>
    <col min="11016" max="11244" width="10.85546875" style="3" customWidth="1"/>
    <col min="11245" max="11245" width="9.5703125" style="3" customWidth="1"/>
    <col min="11246" max="11246" width="9.140625" style="3" customWidth="1"/>
    <col min="11247" max="11247" width="11.28515625" style="3" customWidth="1"/>
    <col min="11248" max="11248" width="10.85546875" style="3" customWidth="1"/>
    <col min="11249" max="11250" width="0" style="3" hidden="1" customWidth="1"/>
    <col min="11251" max="11251" width="2" style="3" customWidth="1"/>
    <col min="11252" max="11262" width="10.85546875" style="3"/>
    <col min="11263" max="11263" width="0" style="3" hidden="1" customWidth="1"/>
    <col min="11264" max="11264" width="19" style="3" customWidth="1"/>
    <col min="11265" max="11265" width="8" style="3" customWidth="1"/>
    <col min="11266" max="11266" width="95.140625" style="3" customWidth="1"/>
    <col min="11267" max="11267" width="12" style="3" customWidth="1"/>
    <col min="11268" max="11268" width="16.7109375" style="3" customWidth="1"/>
    <col min="11269" max="11270" width="26" style="3" customWidth="1"/>
    <col min="11271" max="11271" width="0" style="3" hidden="1" customWidth="1"/>
    <col min="11272" max="11500" width="10.85546875" style="3" customWidth="1"/>
    <col min="11501" max="11501" width="9.5703125" style="3" customWidth="1"/>
    <col min="11502" max="11502" width="9.140625" style="3" customWidth="1"/>
    <col min="11503" max="11503" width="11.28515625" style="3" customWidth="1"/>
    <col min="11504" max="11504" width="10.85546875" style="3" customWidth="1"/>
    <col min="11505" max="11506" width="0" style="3" hidden="1" customWidth="1"/>
    <col min="11507" max="11507" width="2" style="3" customWidth="1"/>
    <col min="11508" max="11518" width="10.85546875" style="3"/>
    <col min="11519" max="11519" width="0" style="3" hidden="1" customWidth="1"/>
    <col min="11520" max="11520" width="19" style="3" customWidth="1"/>
    <col min="11521" max="11521" width="8" style="3" customWidth="1"/>
    <col min="11522" max="11522" width="95.140625" style="3" customWidth="1"/>
    <col min="11523" max="11523" width="12" style="3" customWidth="1"/>
    <col min="11524" max="11524" width="16.7109375" style="3" customWidth="1"/>
    <col min="11525" max="11526" width="26" style="3" customWidth="1"/>
    <col min="11527" max="11527" width="0" style="3" hidden="1" customWidth="1"/>
    <col min="11528" max="11756" width="10.85546875" style="3" customWidth="1"/>
    <col min="11757" max="11757" width="9.5703125" style="3" customWidth="1"/>
    <col min="11758" max="11758" width="9.140625" style="3" customWidth="1"/>
    <col min="11759" max="11759" width="11.28515625" style="3" customWidth="1"/>
    <col min="11760" max="11760" width="10.85546875" style="3" customWidth="1"/>
    <col min="11761" max="11762" width="0" style="3" hidden="1" customWidth="1"/>
    <col min="11763" max="11763" width="2" style="3" customWidth="1"/>
    <col min="11764" max="11774" width="10.85546875" style="3"/>
    <col min="11775" max="11775" width="0" style="3" hidden="1" customWidth="1"/>
    <col min="11776" max="11776" width="19" style="3" customWidth="1"/>
    <col min="11777" max="11777" width="8" style="3" customWidth="1"/>
    <col min="11778" max="11778" width="95.140625" style="3" customWidth="1"/>
    <col min="11779" max="11779" width="12" style="3" customWidth="1"/>
    <col min="11780" max="11780" width="16.7109375" style="3" customWidth="1"/>
    <col min="11781" max="11782" width="26" style="3" customWidth="1"/>
    <col min="11783" max="11783" width="0" style="3" hidden="1" customWidth="1"/>
    <col min="11784" max="12012" width="10.85546875" style="3" customWidth="1"/>
    <col min="12013" max="12013" width="9.5703125" style="3" customWidth="1"/>
    <col min="12014" max="12014" width="9.140625" style="3" customWidth="1"/>
    <col min="12015" max="12015" width="11.28515625" style="3" customWidth="1"/>
    <col min="12016" max="12016" width="10.85546875" style="3" customWidth="1"/>
    <col min="12017" max="12018" width="0" style="3" hidden="1" customWidth="1"/>
    <col min="12019" max="12019" width="2" style="3" customWidth="1"/>
    <col min="12020" max="12030" width="10.85546875" style="3"/>
    <col min="12031" max="12031" width="0" style="3" hidden="1" customWidth="1"/>
    <col min="12032" max="12032" width="19" style="3" customWidth="1"/>
    <col min="12033" max="12033" width="8" style="3" customWidth="1"/>
    <col min="12034" max="12034" width="95.140625" style="3" customWidth="1"/>
    <col min="12035" max="12035" width="12" style="3" customWidth="1"/>
    <col min="12036" max="12036" width="16.7109375" style="3" customWidth="1"/>
    <col min="12037" max="12038" width="26" style="3" customWidth="1"/>
    <col min="12039" max="12039" width="0" style="3" hidden="1" customWidth="1"/>
    <col min="12040" max="12268" width="10.85546875" style="3" customWidth="1"/>
    <col min="12269" max="12269" width="9.5703125" style="3" customWidth="1"/>
    <col min="12270" max="12270" width="9.140625" style="3" customWidth="1"/>
    <col min="12271" max="12271" width="11.28515625" style="3" customWidth="1"/>
    <col min="12272" max="12272" width="10.85546875" style="3" customWidth="1"/>
    <col min="12273" max="12274" width="0" style="3" hidden="1" customWidth="1"/>
    <col min="12275" max="12275" width="2" style="3" customWidth="1"/>
    <col min="12276" max="12286" width="10.85546875" style="3"/>
    <col min="12287" max="12287" width="0" style="3" hidden="1" customWidth="1"/>
    <col min="12288" max="12288" width="19" style="3" customWidth="1"/>
    <col min="12289" max="12289" width="8" style="3" customWidth="1"/>
    <col min="12290" max="12290" width="95.140625" style="3" customWidth="1"/>
    <col min="12291" max="12291" width="12" style="3" customWidth="1"/>
    <col min="12292" max="12292" width="16.7109375" style="3" customWidth="1"/>
    <col min="12293" max="12294" width="26" style="3" customWidth="1"/>
    <col min="12295" max="12295" width="0" style="3" hidden="1" customWidth="1"/>
    <col min="12296" max="12524" width="10.85546875" style="3" customWidth="1"/>
    <col min="12525" max="12525" width="9.5703125" style="3" customWidth="1"/>
    <col min="12526" max="12526" width="9.140625" style="3" customWidth="1"/>
    <col min="12527" max="12527" width="11.28515625" style="3" customWidth="1"/>
    <col min="12528" max="12528" width="10.85546875" style="3" customWidth="1"/>
    <col min="12529" max="12530" width="0" style="3" hidden="1" customWidth="1"/>
    <col min="12531" max="12531" width="2" style="3" customWidth="1"/>
    <col min="12532" max="12542" width="10.85546875" style="3"/>
    <col min="12543" max="12543" width="0" style="3" hidden="1" customWidth="1"/>
    <col min="12544" max="12544" width="19" style="3" customWidth="1"/>
    <col min="12545" max="12545" width="8" style="3" customWidth="1"/>
    <col min="12546" max="12546" width="95.140625" style="3" customWidth="1"/>
    <col min="12547" max="12547" width="12" style="3" customWidth="1"/>
    <col min="12548" max="12548" width="16.7109375" style="3" customWidth="1"/>
    <col min="12549" max="12550" width="26" style="3" customWidth="1"/>
    <col min="12551" max="12551" width="0" style="3" hidden="1" customWidth="1"/>
    <col min="12552" max="12780" width="10.85546875" style="3" customWidth="1"/>
    <col min="12781" max="12781" width="9.5703125" style="3" customWidth="1"/>
    <col min="12782" max="12782" width="9.140625" style="3" customWidth="1"/>
    <col min="12783" max="12783" width="11.28515625" style="3" customWidth="1"/>
    <col min="12784" max="12784" width="10.85546875" style="3" customWidth="1"/>
    <col min="12785" max="12786" width="0" style="3" hidden="1" customWidth="1"/>
    <col min="12787" max="12787" width="2" style="3" customWidth="1"/>
    <col min="12788" max="12798" width="10.85546875" style="3"/>
    <col min="12799" max="12799" width="0" style="3" hidden="1" customWidth="1"/>
    <col min="12800" max="12800" width="19" style="3" customWidth="1"/>
    <col min="12801" max="12801" width="8" style="3" customWidth="1"/>
    <col min="12802" max="12802" width="95.140625" style="3" customWidth="1"/>
    <col min="12803" max="12803" width="12" style="3" customWidth="1"/>
    <col min="12804" max="12804" width="16.7109375" style="3" customWidth="1"/>
    <col min="12805" max="12806" width="26" style="3" customWidth="1"/>
    <col min="12807" max="12807" width="0" style="3" hidden="1" customWidth="1"/>
    <col min="12808" max="13036" width="10.85546875" style="3" customWidth="1"/>
    <col min="13037" max="13037" width="9.5703125" style="3" customWidth="1"/>
    <col min="13038" max="13038" width="9.140625" style="3" customWidth="1"/>
    <col min="13039" max="13039" width="11.28515625" style="3" customWidth="1"/>
    <col min="13040" max="13040" width="10.85546875" style="3" customWidth="1"/>
    <col min="13041" max="13042" width="0" style="3" hidden="1" customWidth="1"/>
    <col min="13043" max="13043" width="2" style="3" customWidth="1"/>
    <col min="13044" max="13054" width="10.85546875" style="3"/>
    <col min="13055" max="13055" width="0" style="3" hidden="1" customWidth="1"/>
    <col min="13056" max="13056" width="19" style="3" customWidth="1"/>
    <col min="13057" max="13057" width="8" style="3" customWidth="1"/>
    <col min="13058" max="13058" width="95.140625" style="3" customWidth="1"/>
    <col min="13059" max="13059" width="12" style="3" customWidth="1"/>
    <col min="13060" max="13060" width="16.7109375" style="3" customWidth="1"/>
    <col min="13061" max="13062" width="26" style="3" customWidth="1"/>
    <col min="13063" max="13063" width="0" style="3" hidden="1" customWidth="1"/>
    <col min="13064" max="13292" width="10.85546875" style="3" customWidth="1"/>
    <col min="13293" max="13293" width="9.5703125" style="3" customWidth="1"/>
    <col min="13294" max="13294" width="9.140625" style="3" customWidth="1"/>
    <col min="13295" max="13295" width="11.28515625" style="3" customWidth="1"/>
    <col min="13296" max="13296" width="10.85546875" style="3" customWidth="1"/>
    <col min="13297" max="13298" width="0" style="3" hidden="1" customWidth="1"/>
    <col min="13299" max="13299" width="2" style="3" customWidth="1"/>
    <col min="13300" max="13310" width="10.85546875" style="3"/>
    <col min="13311" max="13311" width="0" style="3" hidden="1" customWidth="1"/>
    <col min="13312" max="13312" width="19" style="3" customWidth="1"/>
    <col min="13313" max="13313" width="8" style="3" customWidth="1"/>
    <col min="13314" max="13314" width="95.140625" style="3" customWidth="1"/>
    <col min="13315" max="13315" width="12" style="3" customWidth="1"/>
    <col min="13316" max="13316" width="16.7109375" style="3" customWidth="1"/>
    <col min="13317" max="13318" width="26" style="3" customWidth="1"/>
    <col min="13319" max="13319" width="0" style="3" hidden="1" customWidth="1"/>
    <col min="13320" max="13548" width="10.85546875" style="3" customWidth="1"/>
    <col min="13549" max="13549" width="9.5703125" style="3" customWidth="1"/>
    <col min="13550" max="13550" width="9.140625" style="3" customWidth="1"/>
    <col min="13551" max="13551" width="11.28515625" style="3" customWidth="1"/>
    <col min="13552" max="13552" width="10.85546875" style="3" customWidth="1"/>
    <col min="13553" max="13554" width="0" style="3" hidden="1" customWidth="1"/>
    <col min="13555" max="13555" width="2" style="3" customWidth="1"/>
    <col min="13556" max="13566" width="10.85546875" style="3"/>
    <col min="13567" max="13567" width="0" style="3" hidden="1" customWidth="1"/>
    <col min="13568" max="13568" width="19" style="3" customWidth="1"/>
    <col min="13569" max="13569" width="8" style="3" customWidth="1"/>
    <col min="13570" max="13570" width="95.140625" style="3" customWidth="1"/>
    <col min="13571" max="13571" width="12" style="3" customWidth="1"/>
    <col min="13572" max="13572" width="16.7109375" style="3" customWidth="1"/>
    <col min="13573" max="13574" width="26" style="3" customWidth="1"/>
    <col min="13575" max="13575" width="0" style="3" hidden="1" customWidth="1"/>
    <col min="13576" max="13804" width="10.85546875" style="3" customWidth="1"/>
    <col min="13805" max="13805" width="9.5703125" style="3" customWidth="1"/>
    <col min="13806" max="13806" width="9.140625" style="3" customWidth="1"/>
    <col min="13807" max="13807" width="11.28515625" style="3" customWidth="1"/>
    <col min="13808" max="13808" width="10.85546875" style="3" customWidth="1"/>
    <col min="13809" max="13810" width="0" style="3" hidden="1" customWidth="1"/>
    <col min="13811" max="13811" width="2" style="3" customWidth="1"/>
    <col min="13812" max="13822" width="10.85546875" style="3"/>
    <col min="13823" max="13823" width="0" style="3" hidden="1" customWidth="1"/>
    <col min="13824" max="13824" width="19" style="3" customWidth="1"/>
    <col min="13825" max="13825" width="8" style="3" customWidth="1"/>
    <col min="13826" max="13826" width="95.140625" style="3" customWidth="1"/>
    <col min="13827" max="13827" width="12" style="3" customWidth="1"/>
    <col min="13828" max="13828" width="16.7109375" style="3" customWidth="1"/>
    <col min="13829" max="13830" width="26" style="3" customWidth="1"/>
    <col min="13831" max="13831" width="0" style="3" hidden="1" customWidth="1"/>
    <col min="13832" max="14060" width="10.85546875" style="3" customWidth="1"/>
    <col min="14061" max="14061" width="9.5703125" style="3" customWidth="1"/>
    <col min="14062" max="14062" width="9.140625" style="3" customWidth="1"/>
    <col min="14063" max="14063" width="11.28515625" style="3" customWidth="1"/>
    <col min="14064" max="14064" width="10.85546875" style="3" customWidth="1"/>
    <col min="14065" max="14066" width="0" style="3" hidden="1" customWidth="1"/>
    <col min="14067" max="14067" width="2" style="3" customWidth="1"/>
    <col min="14068" max="14078" width="10.85546875" style="3"/>
    <col min="14079" max="14079" width="0" style="3" hidden="1" customWidth="1"/>
    <col min="14080" max="14080" width="19" style="3" customWidth="1"/>
    <col min="14081" max="14081" width="8" style="3" customWidth="1"/>
    <col min="14082" max="14082" width="95.140625" style="3" customWidth="1"/>
    <col min="14083" max="14083" width="12" style="3" customWidth="1"/>
    <col min="14084" max="14084" width="16.7109375" style="3" customWidth="1"/>
    <col min="14085" max="14086" width="26" style="3" customWidth="1"/>
    <col min="14087" max="14087" width="0" style="3" hidden="1" customWidth="1"/>
    <col min="14088" max="14316" width="10.85546875" style="3" customWidth="1"/>
    <col min="14317" max="14317" width="9.5703125" style="3" customWidth="1"/>
    <col min="14318" max="14318" width="9.140625" style="3" customWidth="1"/>
    <col min="14319" max="14319" width="11.28515625" style="3" customWidth="1"/>
    <col min="14320" max="14320" width="10.85546875" style="3" customWidth="1"/>
    <col min="14321" max="14322" width="0" style="3" hidden="1" customWidth="1"/>
    <col min="14323" max="14323" width="2" style="3" customWidth="1"/>
    <col min="14324" max="14334" width="10.85546875" style="3"/>
    <col min="14335" max="14335" width="0" style="3" hidden="1" customWidth="1"/>
    <col min="14336" max="14336" width="19" style="3" customWidth="1"/>
    <col min="14337" max="14337" width="8" style="3" customWidth="1"/>
    <col min="14338" max="14338" width="95.140625" style="3" customWidth="1"/>
    <col min="14339" max="14339" width="12" style="3" customWidth="1"/>
    <col min="14340" max="14340" width="16.7109375" style="3" customWidth="1"/>
    <col min="14341" max="14342" width="26" style="3" customWidth="1"/>
    <col min="14343" max="14343" width="0" style="3" hidden="1" customWidth="1"/>
    <col min="14344" max="14572" width="10.85546875" style="3" customWidth="1"/>
    <col min="14573" max="14573" width="9.5703125" style="3" customWidth="1"/>
    <col min="14574" max="14574" width="9.140625" style="3" customWidth="1"/>
    <col min="14575" max="14575" width="11.28515625" style="3" customWidth="1"/>
    <col min="14576" max="14576" width="10.85546875" style="3" customWidth="1"/>
    <col min="14577" max="14578" width="0" style="3" hidden="1" customWidth="1"/>
    <col min="14579" max="14579" width="2" style="3" customWidth="1"/>
    <col min="14580" max="14590" width="10.85546875" style="3"/>
    <col min="14591" max="14591" width="0" style="3" hidden="1" customWidth="1"/>
    <col min="14592" max="14592" width="19" style="3" customWidth="1"/>
    <col min="14593" max="14593" width="8" style="3" customWidth="1"/>
    <col min="14594" max="14594" width="95.140625" style="3" customWidth="1"/>
    <col min="14595" max="14595" width="12" style="3" customWidth="1"/>
    <col min="14596" max="14596" width="16.7109375" style="3" customWidth="1"/>
    <col min="14597" max="14598" width="26" style="3" customWidth="1"/>
    <col min="14599" max="14599" width="0" style="3" hidden="1" customWidth="1"/>
    <col min="14600" max="14828" width="10.85546875" style="3" customWidth="1"/>
    <col min="14829" max="14829" width="9.5703125" style="3" customWidth="1"/>
    <col min="14830" max="14830" width="9.140625" style="3" customWidth="1"/>
    <col min="14831" max="14831" width="11.28515625" style="3" customWidth="1"/>
    <col min="14832" max="14832" width="10.85546875" style="3" customWidth="1"/>
    <col min="14833" max="14834" width="0" style="3" hidden="1" customWidth="1"/>
    <col min="14835" max="14835" width="2" style="3" customWidth="1"/>
    <col min="14836" max="14846" width="10.85546875" style="3"/>
    <col min="14847" max="14847" width="0" style="3" hidden="1" customWidth="1"/>
    <col min="14848" max="14848" width="19" style="3" customWidth="1"/>
    <col min="14849" max="14849" width="8" style="3" customWidth="1"/>
    <col min="14850" max="14850" width="95.140625" style="3" customWidth="1"/>
    <col min="14851" max="14851" width="12" style="3" customWidth="1"/>
    <col min="14852" max="14852" width="16.7109375" style="3" customWidth="1"/>
    <col min="14853" max="14854" width="26" style="3" customWidth="1"/>
    <col min="14855" max="14855" width="0" style="3" hidden="1" customWidth="1"/>
    <col min="14856" max="15084" width="10.85546875" style="3" customWidth="1"/>
    <col min="15085" max="15085" width="9.5703125" style="3" customWidth="1"/>
    <col min="15086" max="15086" width="9.140625" style="3" customWidth="1"/>
    <col min="15087" max="15087" width="11.28515625" style="3" customWidth="1"/>
    <col min="15088" max="15088" width="10.85546875" style="3" customWidth="1"/>
    <col min="15089" max="15090" width="0" style="3" hidden="1" customWidth="1"/>
    <col min="15091" max="15091" width="2" style="3" customWidth="1"/>
    <col min="15092" max="15102" width="10.85546875" style="3"/>
    <col min="15103" max="15103" width="0" style="3" hidden="1" customWidth="1"/>
    <col min="15104" max="15104" width="19" style="3" customWidth="1"/>
    <col min="15105" max="15105" width="8" style="3" customWidth="1"/>
    <col min="15106" max="15106" width="95.140625" style="3" customWidth="1"/>
    <col min="15107" max="15107" width="12" style="3" customWidth="1"/>
    <col min="15108" max="15108" width="16.7109375" style="3" customWidth="1"/>
    <col min="15109" max="15110" width="26" style="3" customWidth="1"/>
    <col min="15111" max="15111" width="0" style="3" hidden="1" customWidth="1"/>
    <col min="15112" max="15340" width="10.85546875" style="3" customWidth="1"/>
    <col min="15341" max="15341" width="9.5703125" style="3" customWidth="1"/>
    <col min="15342" max="15342" width="9.140625" style="3" customWidth="1"/>
    <col min="15343" max="15343" width="11.28515625" style="3" customWidth="1"/>
    <col min="15344" max="15344" width="10.85546875" style="3" customWidth="1"/>
    <col min="15345" max="15346" width="0" style="3" hidden="1" customWidth="1"/>
    <col min="15347" max="15347" width="2" style="3" customWidth="1"/>
    <col min="15348" max="15358" width="10.85546875" style="3"/>
    <col min="15359" max="15359" width="0" style="3" hidden="1" customWidth="1"/>
    <col min="15360" max="15360" width="19" style="3" customWidth="1"/>
    <col min="15361" max="15361" width="8" style="3" customWidth="1"/>
    <col min="15362" max="15362" width="95.140625" style="3" customWidth="1"/>
    <col min="15363" max="15363" width="12" style="3" customWidth="1"/>
    <col min="15364" max="15364" width="16.7109375" style="3" customWidth="1"/>
    <col min="15365" max="15366" width="26" style="3" customWidth="1"/>
    <col min="15367" max="15367" width="0" style="3" hidden="1" customWidth="1"/>
    <col min="15368" max="15596" width="10.85546875" style="3" customWidth="1"/>
    <col min="15597" max="15597" width="9.5703125" style="3" customWidth="1"/>
    <col min="15598" max="15598" width="9.140625" style="3" customWidth="1"/>
    <col min="15599" max="15599" width="11.28515625" style="3" customWidth="1"/>
    <col min="15600" max="15600" width="10.85546875" style="3" customWidth="1"/>
    <col min="15601" max="15602" width="0" style="3" hidden="1" customWidth="1"/>
    <col min="15603" max="15603" width="2" style="3" customWidth="1"/>
    <col min="15604" max="15614" width="10.85546875" style="3"/>
    <col min="15615" max="15615" width="0" style="3" hidden="1" customWidth="1"/>
    <col min="15616" max="15616" width="19" style="3" customWidth="1"/>
    <col min="15617" max="15617" width="8" style="3" customWidth="1"/>
    <col min="15618" max="15618" width="95.140625" style="3" customWidth="1"/>
    <col min="15619" max="15619" width="12" style="3" customWidth="1"/>
    <col min="15620" max="15620" width="16.7109375" style="3" customWidth="1"/>
    <col min="15621" max="15622" width="26" style="3" customWidth="1"/>
    <col min="15623" max="15623" width="0" style="3" hidden="1" customWidth="1"/>
    <col min="15624" max="15852" width="10.85546875" style="3" customWidth="1"/>
    <col min="15853" max="15853" width="9.5703125" style="3" customWidth="1"/>
    <col min="15854" max="15854" width="9.140625" style="3" customWidth="1"/>
    <col min="15855" max="15855" width="11.28515625" style="3" customWidth="1"/>
    <col min="15856" max="15856" width="10.85546875" style="3" customWidth="1"/>
    <col min="15857" max="15858" width="0" style="3" hidden="1" customWidth="1"/>
    <col min="15859" max="15859" width="2" style="3" customWidth="1"/>
    <col min="15860" max="15870" width="10.85546875" style="3"/>
    <col min="15871" max="15871" width="0" style="3" hidden="1" customWidth="1"/>
    <col min="15872" max="15872" width="19" style="3" customWidth="1"/>
    <col min="15873" max="15873" width="8" style="3" customWidth="1"/>
    <col min="15874" max="15874" width="95.140625" style="3" customWidth="1"/>
    <col min="15875" max="15875" width="12" style="3" customWidth="1"/>
    <col min="15876" max="15876" width="16.7109375" style="3" customWidth="1"/>
    <col min="15877" max="15878" width="26" style="3" customWidth="1"/>
    <col min="15879" max="15879" width="0" style="3" hidden="1" customWidth="1"/>
    <col min="15880" max="16108" width="10.85546875" style="3" customWidth="1"/>
    <col min="16109" max="16109" width="9.5703125" style="3" customWidth="1"/>
    <col min="16110" max="16110" width="9.140625" style="3" customWidth="1"/>
    <col min="16111" max="16111" width="11.28515625" style="3" customWidth="1"/>
    <col min="16112" max="16112" width="10.85546875" style="3" customWidth="1"/>
    <col min="16113" max="16114" width="0" style="3" hidden="1" customWidth="1"/>
    <col min="16115" max="16115" width="2" style="3" customWidth="1"/>
    <col min="16116" max="16126" width="10.85546875" style="3"/>
    <col min="16127" max="16127" width="0" style="3" hidden="1" customWidth="1"/>
    <col min="16128" max="16128" width="19" style="3" customWidth="1"/>
    <col min="16129" max="16129" width="8" style="3" customWidth="1"/>
    <col min="16130" max="16130" width="95.140625" style="3" customWidth="1"/>
    <col min="16131" max="16131" width="12" style="3" customWidth="1"/>
    <col min="16132" max="16132" width="16.7109375" style="3" customWidth="1"/>
    <col min="16133" max="16134" width="26" style="3" customWidth="1"/>
    <col min="16135" max="16135" width="0" style="3" hidden="1" customWidth="1"/>
    <col min="16136" max="16364" width="10.85546875" style="3" customWidth="1"/>
    <col min="16365" max="16365" width="9.5703125" style="3" customWidth="1"/>
    <col min="16366" max="16366" width="9.140625" style="3" customWidth="1"/>
    <col min="16367" max="16367" width="11.28515625" style="3" customWidth="1"/>
    <col min="16368" max="16368" width="10.85546875" style="3" customWidth="1"/>
    <col min="16369" max="16370" width="0" style="3" hidden="1" customWidth="1"/>
    <col min="16371" max="16371" width="2" style="3" customWidth="1"/>
    <col min="16372" max="16384" width="10.85546875" style="3"/>
  </cols>
  <sheetData>
    <row r="1" spans="1:17" ht="26.25" x14ac:dyDescent="0.25">
      <c r="A1" s="438" t="s">
        <v>269</v>
      </c>
      <c r="B1" s="6"/>
      <c r="C1" s="10"/>
      <c r="D1" s="4"/>
      <c r="E1" s="4"/>
      <c r="F1" s="4"/>
    </row>
    <row r="2" spans="1:17" ht="15" customHeight="1" thickBot="1" x14ac:dyDescent="0.3">
      <c r="A2" s="10"/>
      <c r="B2" s="6"/>
      <c r="C2" s="10"/>
    </row>
    <row r="3" spans="1:17" ht="28.5" x14ac:dyDescent="0.25">
      <c r="A3" s="602" t="s">
        <v>0</v>
      </c>
      <c r="B3" s="612" t="s">
        <v>130</v>
      </c>
      <c r="C3" s="615" t="s">
        <v>26</v>
      </c>
      <c r="D3" s="610" t="s">
        <v>243</v>
      </c>
      <c r="E3" s="610"/>
      <c r="F3" s="610"/>
      <c r="G3" s="610"/>
      <c r="H3" s="610"/>
      <c r="I3" s="610"/>
      <c r="J3" s="610"/>
      <c r="K3" s="610"/>
      <c r="L3" s="610"/>
      <c r="M3" s="611"/>
    </row>
    <row r="4" spans="1:17" ht="26.25" customHeight="1" x14ac:dyDescent="0.25">
      <c r="A4" s="603"/>
      <c r="B4" s="613"/>
      <c r="C4" s="616"/>
      <c r="D4" s="605" t="s">
        <v>19</v>
      </c>
      <c r="E4" s="606"/>
      <c r="F4" s="607"/>
      <c r="G4" s="33"/>
      <c r="H4" s="415"/>
      <c r="I4" s="415"/>
      <c r="J4" s="201"/>
      <c r="K4" s="608" t="s">
        <v>208</v>
      </c>
      <c r="L4" s="608"/>
      <c r="M4" s="609"/>
      <c r="N4" s="33"/>
    </row>
    <row r="5" spans="1:17" ht="97.5" customHeight="1" thickBot="1" x14ac:dyDescent="0.3">
      <c r="A5" s="604"/>
      <c r="B5" s="614"/>
      <c r="C5" s="617"/>
      <c r="D5" s="429" t="s">
        <v>200</v>
      </c>
      <c r="E5" s="430" t="s">
        <v>201</v>
      </c>
      <c r="F5" s="170" t="s">
        <v>185</v>
      </c>
      <c r="G5" s="34"/>
      <c r="H5" s="415"/>
      <c r="I5" s="415"/>
      <c r="J5" s="202"/>
      <c r="K5" s="431" t="s">
        <v>200</v>
      </c>
      <c r="L5" s="432" t="s">
        <v>201</v>
      </c>
      <c r="M5" s="171" t="s">
        <v>185</v>
      </c>
      <c r="N5" s="34"/>
    </row>
    <row r="6" spans="1:17" ht="39" hidden="1" customHeight="1" thickBot="1" x14ac:dyDescent="0.3">
      <c r="A6" s="143" t="s">
        <v>4</v>
      </c>
      <c r="B6" s="144" t="s">
        <v>1</v>
      </c>
      <c r="C6" s="52" t="s">
        <v>5</v>
      </c>
      <c r="D6" s="71" t="s">
        <v>2</v>
      </c>
      <c r="E6" s="72" t="s">
        <v>3</v>
      </c>
      <c r="F6" s="73" t="s">
        <v>145</v>
      </c>
      <c r="G6" s="35" t="s">
        <v>159</v>
      </c>
      <c r="H6" s="22" t="s">
        <v>137</v>
      </c>
      <c r="I6" s="32" t="s">
        <v>158</v>
      </c>
      <c r="J6" s="439"/>
      <c r="K6" s="180" t="s">
        <v>2</v>
      </c>
      <c r="L6" s="72" t="s">
        <v>3</v>
      </c>
      <c r="M6" s="73" t="s">
        <v>145</v>
      </c>
      <c r="N6" s="35" t="s">
        <v>159</v>
      </c>
      <c r="O6" s="22" t="s">
        <v>137</v>
      </c>
      <c r="P6" s="32" t="s">
        <v>158</v>
      </c>
    </row>
    <row r="7" spans="1:17" s="4" customFormat="1" ht="18.75" x14ac:dyDescent="0.25">
      <c r="A7" s="145" t="s">
        <v>302</v>
      </c>
      <c r="B7" s="146"/>
      <c r="C7" s="53"/>
      <c r="D7" s="74"/>
      <c r="E7" s="75"/>
      <c r="F7" s="76"/>
      <c r="G7" s="6" t="s">
        <v>169</v>
      </c>
      <c r="H7" s="49" t="s">
        <v>199</v>
      </c>
      <c r="I7" s="51" t="e">
        <f>Tableau79569396144277[[#This Row],[Colonne4]]*Tableau79569396144277[[#This Row],[Agnelles32]]</f>
        <v>#VALUE!</v>
      </c>
      <c r="J7" s="167"/>
      <c r="K7" s="181"/>
      <c r="L7" s="75"/>
      <c r="M7" s="76"/>
      <c r="N7" s="6" t="s">
        <v>169</v>
      </c>
      <c r="O7" s="49" t="s">
        <v>199</v>
      </c>
      <c r="P7" s="51" t="e">
        <f>Tableau79569396144277[[#This Row],[Colonne4]]*Tableau79569396144277[[#This Row],[Agnelles32]]</f>
        <v>#VALUE!</v>
      </c>
    </row>
    <row r="8" spans="1:17" x14ac:dyDescent="0.25">
      <c r="A8" s="253"/>
      <c r="B8" s="147" t="s">
        <v>299</v>
      </c>
      <c r="C8" s="54" t="s">
        <v>118</v>
      </c>
      <c r="D8" s="77">
        <f>ROUND(('DONNÉES À ENTRER'!B5*'DONNÉES À ENTRER'!B6)*50%-'DONNÉES À ENTRER'!J56-'DONNÉES À ENTRER'!J60-'DONNÉES À ENTRER'!J64,0)</f>
        <v>10</v>
      </c>
      <c r="E8" s="78">
        <f>ROUND(('DONNÉES À ENTRER'!B5*'DONNÉES À ENTRER'!B6)*50%-'DONNÉES À ENTRER'!J58-'DONNÉES À ENTRER'!J62-'DONNÉES À ENTRER'!J66,0)</f>
        <v>43</v>
      </c>
      <c r="F8" s="79">
        <f>ROUND(+'DONNÉES À ENTRER'!J56+'DONNÉES À ENTRER'!J58+'DONNÉES À ENTRER'!J60+'DONNÉES À ENTRER'!J62+'DONNÉES À ENTRER'!J64+'DONNÉES À ENTRER'!J66,0)</f>
        <v>109</v>
      </c>
      <c r="G8" s="36"/>
      <c r="H8" s="49"/>
      <c r="I8" s="50">
        <f>Tableau79569396144277[[#This Row],[Colonne4]]*Tableau79569396144277[[#This Row],[Agnelles32]]</f>
        <v>0</v>
      </c>
      <c r="J8" s="168"/>
      <c r="K8" s="504">
        <f>ROUND(('DONNÉES À ENTRER'!D5*'DONNÉES À ENTRER'!D6)*50%-'DONNÉES À ENTRER'!L56-'DONNÉES À ENTRER'!L60-'DONNÉES À ENTRER'!L64,0)</f>
        <v>10</v>
      </c>
      <c r="L8" s="78">
        <f>ROUND(('DONNÉES À ENTRER'!D5*'DONNÉES À ENTRER'!D6)*50%-'DONNÉES À ENTRER'!L58-'DONNÉES À ENTRER'!L62-'DONNÉES À ENTRER'!L66,0)</f>
        <v>43</v>
      </c>
      <c r="M8" s="79">
        <f>ROUND(+'DONNÉES À ENTRER'!L56+'DONNÉES À ENTRER'!L58+'DONNÉES À ENTRER'!L60+'DONNÉES À ENTRER'!L62+'DONNÉES À ENTRER'!L64+'DONNÉES À ENTRER'!L66,0)</f>
        <v>109</v>
      </c>
      <c r="N8" s="36"/>
      <c r="O8" s="11"/>
      <c r="P8" s="30">
        <f>Tableau79569396144277[[#This Row],[Colonne4]]*Tableau79569396144277[[#This Row],[Agnelles32]]</f>
        <v>0</v>
      </c>
    </row>
    <row r="9" spans="1:17" x14ac:dyDescent="0.25">
      <c r="A9" s="416"/>
      <c r="B9" s="147" t="s">
        <v>206</v>
      </c>
      <c r="C9" s="55" t="s">
        <v>20</v>
      </c>
      <c r="D9" s="80">
        <f>(D8/('DONNÉES À ENTRER'!B5*'DONNÉES À ENTRER'!B6*0.5))</f>
        <v>0.12422360248447205</v>
      </c>
      <c r="E9" s="81">
        <f>+E8/('DONNÉES À ENTRER'!B5*'DONNÉES À ENTRER'!B6*0.5)</f>
        <v>0.53416149068322982</v>
      </c>
      <c r="F9" s="82"/>
      <c r="G9" s="36"/>
      <c r="H9" s="50"/>
      <c r="I9" s="50">
        <f>Tableau79569396144277[[#This Row],[Colonne4]]*Tableau79569396144277[[#This Row],[Agnelles32]]</f>
        <v>0</v>
      </c>
      <c r="J9" s="168"/>
      <c r="K9" s="182">
        <f>(K8/('DONNÉES À ENTRER'!D5*'DONNÉES À ENTRER'!D6*0.5))</f>
        <v>0.12422360248447205</v>
      </c>
      <c r="L9" s="81">
        <f>+L8/('DONNÉES À ENTRER'!D5*'DONNÉES À ENTRER'!D6*0.5)</f>
        <v>0.53416149068322982</v>
      </c>
      <c r="M9" s="82"/>
      <c r="N9" s="36"/>
      <c r="O9" s="30"/>
      <c r="P9" s="30">
        <f>Tableau79569396144277[[#This Row],[Colonne4]]*Tableau79569396144277[[#This Row],[Agnelles32]]</f>
        <v>0</v>
      </c>
    </row>
    <row r="10" spans="1:17" s="2" customFormat="1" x14ac:dyDescent="0.25">
      <c r="A10" s="152"/>
      <c r="B10" s="148"/>
      <c r="C10" s="57"/>
      <c r="D10" s="83"/>
      <c r="E10" s="84"/>
      <c r="F10" s="85"/>
      <c r="G10" s="26"/>
      <c r="H10" s="7"/>
      <c r="I10" s="417">
        <f>Tableau79569396144277[[#This Row],[Colonne4]]*Tableau79569396144277[[#This Row],[Agnelles32]]</f>
        <v>0</v>
      </c>
      <c r="J10" s="167"/>
      <c r="K10" s="183"/>
      <c r="L10" s="84"/>
      <c r="M10" s="85"/>
      <c r="N10" s="26"/>
      <c r="O10" s="7"/>
      <c r="P10" s="48">
        <f>Tableau79569396144277[[#This Row],[Colonne4]]*Tableau79569396144277[[#This Row],[Agnelles32]]</f>
        <v>0</v>
      </c>
    </row>
    <row r="11" spans="1:17" s="4" customFormat="1" ht="21" x14ac:dyDescent="0.25">
      <c r="A11" s="145" t="s">
        <v>92</v>
      </c>
      <c r="B11" s="146"/>
      <c r="C11" s="53"/>
      <c r="D11" s="74"/>
      <c r="E11" s="75"/>
      <c r="F11" s="76"/>
      <c r="G11" s="6"/>
      <c r="H11" s="49"/>
      <c r="I11" s="51"/>
      <c r="J11" s="167"/>
      <c r="K11" s="181"/>
      <c r="L11" s="75"/>
      <c r="M11" s="76"/>
      <c r="N11" s="6"/>
      <c r="O11" s="49"/>
      <c r="P11" s="51"/>
    </row>
    <row r="12" spans="1:17" x14ac:dyDescent="0.25">
      <c r="A12" s="253"/>
      <c r="B12" s="149" t="s">
        <v>212</v>
      </c>
      <c r="C12" s="58" t="s">
        <v>118</v>
      </c>
      <c r="D12" s="86">
        <f>D8</f>
        <v>10</v>
      </c>
      <c r="E12" s="87">
        <f>E8</f>
        <v>43</v>
      </c>
      <c r="F12" s="88">
        <f>F8</f>
        <v>109</v>
      </c>
      <c r="G12" s="6"/>
      <c r="H12" s="49"/>
      <c r="I12" s="51">
        <f>Tableau79569396144277[[#This Row],[Colonne4]]*Tableau79569396144277[[#This Row],[Agnelles32]]</f>
        <v>0</v>
      </c>
      <c r="J12" s="167"/>
      <c r="K12" s="505">
        <f>K8</f>
        <v>10</v>
      </c>
      <c r="L12" s="87">
        <f>L8</f>
        <v>43</v>
      </c>
      <c r="M12" s="88">
        <f>M8</f>
        <v>109</v>
      </c>
      <c r="O12" s="21"/>
      <c r="P12" s="48">
        <f>Tableau79569396144277[[#This Row],[Colonne4]]*Tableau79569396144277[[#This Row],[Agnelles32]]</f>
        <v>0</v>
      </c>
      <c r="Q12" s="2"/>
    </row>
    <row r="13" spans="1:17" s="2" customFormat="1" x14ac:dyDescent="0.25">
      <c r="A13" s="240" t="s">
        <v>93</v>
      </c>
      <c r="B13" s="231" t="s">
        <v>207</v>
      </c>
      <c r="C13" s="232" t="s">
        <v>6</v>
      </c>
      <c r="D13" s="233">
        <f>'DONNÉES À ENTRER'!B7*'Grille de calculs - PATERNELLE'!D8</f>
        <v>2600</v>
      </c>
      <c r="E13" s="234">
        <f>'DONNÉES À ENTRER'!B7*'Grille de calculs - PATERNELLE'!E8</f>
        <v>11180</v>
      </c>
      <c r="F13" s="235"/>
      <c r="G13" s="236"/>
      <c r="H13" s="237"/>
      <c r="I13" s="238">
        <f>Tableau79569396144277[[#This Row],[Colonne4]]*Tableau79569396144277[[#This Row],[Agnelles32]]</f>
        <v>0</v>
      </c>
      <c r="J13" s="168"/>
      <c r="K13" s="239">
        <f>'DONNÉES À ENTRER'!D7*'Grille de calculs - PATERNELLE'!K8</f>
        <v>2600</v>
      </c>
      <c r="L13" s="234">
        <f>'DONNÉES À ENTRER'!D7*'Grille de calculs - PATERNELLE'!L8</f>
        <v>11180</v>
      </c>
      <c r="M13" s="235"/>
      <c r="N13" s="26"/>
      <c r="O13" s="7"/>
      <c r="P13" s="31">
        <f>Tableau79569396144277[[#This Row],[Colonne4]]*Tableau79569396144277[[#This Row],[Agnelles32]]</f>
        <v>0</v>
      </c>
    </row>
    <row r="14" spans="1:17" s="2" customFormat="1" x14ac:dyDescent="0.25">
      <c r="A14" s="152" t="s">
        <v>94</v>
      </c>
      <c r="B14" s="150" t="s">
        <v>131</v>
      </c>
      <c r="C14" s="57"/>
      <c r="D14" s="89"/>
      <c r="E14" s="90"/>
      <c r="F14" s="91"/>
      <c r="G14" s="26"/>
      <c r="H14" s="7"/>
      <c r="I14" s="205">
        <f>Tableau79569396144277[[#This Row],[Colonne4]]*Tableau79569396144277[[#This Row],[Agnelles32]]</f>
        <v>0</v>
      </c>
      <c r="J14" s="168"/>
      <c r="K14" s="184"/>
      <c r="L14" s="90"/>
      <c r="M14" s="91"/>
      <c r="N14" s="26"/>
      <c r="O14" s="7"/>
      <c r="P14" s="31">
        <f>Tableau79569396144277[[#This Row],[Colonne4]]*Tableau79569396144277[[#This Row],[Agnelles32]]</f>
        <v>0</v>
      </c>
    </row>
    <row r="15" spans="1:17" s="2" customFormat="1" x14ac:dyDescent="0.25">
      <c r="A15" s="164"/>
      <c r="B15" s="151" t="s">
        <v>115</v>
      </c>
      <c r="C15" s="57" t="s">
        <v>6</v>
      </c>
      <c r="D15" s="89">
        <f>'DONNÉES À ENTRER'!B17*'Grille de calculs - PATERNELLE'!D8</f>
        <v>472.33201581027663</v>
      </c>
      <c r="E15" s="90">
        <f>'DONNÉES À ENTRER'!B17*'Grille de calculs - PATERNELLE'!E8</f>
        <v>2031.0276679841895</v>
      </c>
      <c r="F15" s="91">
        <f>+'DONNÉES À ENTRER'!B17*('Grille de calculs - PATERNELLE'!F8)</f>
        <v>5148.4189723320151</v>
      </c>
      <c r="G15" s="45">
        <f>(((+'DONNÉES À ENTRER'!B5*'DONNÉES À ENTRER'!B6)/2)-D8)/F8</f>
        <v>0.64678899082568808</v>
      </c>
      <c r="H15" s="204">
        <f>1-Tableau79569396144277[[#This Row],[Agnelles32]]</f>
        <v>0.35321100917431192</v>
      </c>
      <c r="I15" s="205">
        <f>Tableau79569396144277[[#This Row],[Colonne4]]*Tableau79569396144277[[#This Row],[Agnelles32]]</f>
        <v>3329.9407114624501</v>
      </c>
      <c r="J15" s="168"/>
      <c r="K15" s="184">
        <f>'DONNÉES À ENTRER'!D17*'Grille de calculs - PATERNELLE'!K8</f>
        <v>472.33201581027663</v>
      </c>
      <c r="L15" s="90">
        <f>'DONNÉES À ENTRER'!D17*'Grille de calculs - PATERNELLE'!L8</f>
        <v>2031.0276679841895</v>
      </c>
      <c r="M15" s="91">
        <f>+'DONNÉES À ENTRER'!D17*('Grille de calculs - PATERNELLE'!M8)</f>
        <v>5148.4189723320151</v>
      </c>
      <c r="N15" s="45">
        <f>(((+'DONNÉES À ENTRER'!D5*'DONNÉES À ENTRER'!D6)/2)-K8)/M8</f>
        <v>0.64678899082568808</v>
      </c>
      <c r="O15" s="510">
        <f>1-Tableau79569396144277[[#This Row],[Agnelles32]]</f>
        <v>0.35321100917431192</v>
      </c>
      <c r="P15" s="31">
        <f>Tableau79569396144277[[#This Row],[Colonne4]]*Tableau79569396144277[[#This Row],[Agnelles32]]</f>
        <v>3329.9407114624501</v>
      </c>
    </row>
    <row r="16" spans="1:17" x14ac:dyDescent="0.25">
      <c r="A16" s="240"/>
      <c r="B16" s="241" t="s">
        <v>116</v>
      </c>
      <c r="C16" s="242" t="s">
        <v>6</v>
      </c>
      <c r="D16" s="243">
        <f>'DONNÉES À ENTRER'!B18*'Grille de calculs - PATERNELLE'!D8</f>
        <v>74.472049689440979</v>
      </c>
      <c r="E16" s="234">
        <f>'DONNÉES À ENTRER'!B18*'Grille de calculs - PATERNELLE'!E8</f>
        <v>320.22981366459624</v>
      </c>
      <c r="F16" s="235">
        <f>(+'DONNÉES À ENTRER'!B18*'Grille de calculs - PATERNELLE'!F8)</f>
        <v>811.74534161490669</v>
      </c>
      <c r="G16" s="244">
        <f>+(((+'DONNÉES À ENTRER'!B5*'DONNÉES À ENTRER'!B6)/2)-D8)/F8</f>
        <v>0.64678899082568808</v>
      </c>
      <c r="H16" s="245">
        <f>1-Tableau79569396144277[[#This Row],[Agnelles32]]</f>
        <v>0.35321100917431192</v>
      </c>
      <c r="I16" s="246">
        <f>Tableau79569396144277[[#This Row],[Colonne4]]*Tableau79569396144277[[#This Row],[Agnelles32]]</f>
        <v>525.02795031055894</v>
      </c>
      <c r="J16" s="168"/>
      <c r="K16" s="247">
        <f>'DONNÉES À ENTRER'!D18*'Grille de calculs - PATERNELLE'!K8</f>
        <v>74.472049689440979</v>
      </c>
      <c r="L16" s="234">
        <f>'DONNÉES À ENTRER'!D18*'Grille de calculs - PATERNELLE'!L8</f>
        <v>320.22981366459624</v>
      </c>
      <c r="M16" s="235">
        <f>(+'DONNÉES À ENTRER'!D18*'Grille de calculs - PATERNELLE'!M8)</f>
        <v>811.74534161490669</v>
      </c>
      <c r="N16" s="45">
        <f>+(((+'DONNÉES À ENTRER'!D5*'DONNÉES À ENTRER'!D6)/2)-K8)/M8</f>
        <v>0.64678899082568808</v>
      </c>
      <c r="O16" s="510">
        <f>1-Tableau79569396144277[[#This Row],[Agnelles32]]</f>
        <v>0.35321100917431192</v>
      </c>
      <c r="P16" s="31">
        <f>Tableau79569396144277[[#This Row],[Colonne4]]*Tableau79569396144277[[#This Row],[Agnelles32]]</f>
        <v>525.02795031055894</v>
      </c>
      <c r="Q16" s="2"/>
    </row>
    <row r="17" spans="1:17" x14ac:dyDescent="0.25">
      <c r="A17" s="152" t="s">
        <v>95</v>
      </c>
      <c r="B17" s="154" t="s">
        <v>17</v>
      </c>
      <c r="C17" s="59"/>
      <c r="D17" s="89"/>
      <c r="E17" s="90"/>
      <c r="F17" s="91"/>
      <c r="G17" s="26"/>
      <c r="H17" s="50"/>
      <c r="I17" s="50">
        <f>Tableau79569396144277[[#This Row],[Colonne4]]*Tableau79569396144277[[#This Row],[Agnelles32]]</f>
        <v>0</v>
      </c>
      <c r="J17" s="168"/>
      <c r="K17" s="184"/>
      <c r="L17" s="90"/>
      <c r="M17" s="91"/>
      <c r="N17" s="26"/>
      <c r="O17" s="31"/>
      <c r="P17" s="31">
        <f>Tableau79569396144277[[#This Row],[Colonne4]]*Tableau79569396144277[[#This Row],[Agnelles32]]</f>
        <v>0</v>
      </c>
      <c r="Q17" s="2"/>
    </row>
    <row r="18" spans="1:17" x14ac:dyDescent="0.25">
      <c r="A18" s="155"/>
      <c r="B18" s="156" t="s">
        <v>72</v>
      </c>
      <c r="C18" s="59" t="s">
        <v>6</v>
      </c>
      <c r="D18" s="89">
        <f>'DONNÉES À ENTRER'!B20*'Grille de calculs - PATERNELLE'!$D$8*'DONNÉES À ENTRER'!B31/60</f>
        <v>5.5155279503105596</v>
      </c>
      <c r="E18" s="90">
        <f>'DONNÉES À ENTRER'!B20*'Grille de calculs - PATERNELLE'!$E$8*'DONNÉES À ENTRER'!B31/60</f>
        <v>23.716770186335406</v>
      </c>
      <c r="F18" s="91">
        <f>+'DONNÉES À ENTRER'!B20*'Grille de calculs - PATERNELLE'!$F$8*'DONNÉES À ENTRER'!B31/60</f>
        <v>60.119254658385096</v>
      </c>
      <c r="G18" s="45">
        <f>+(((+'DONNÉES À ENTRER'!B5*'DONNÉES À ENTRER'!B6)/2)-D8)/F8</f>
        <v>0.64678899082568808</v>
      </c>
      <c r="H18" s="204">
        <f>1-Tableau79569396144277[[#This Row],[Agnelles32]]</f>
        <v>0.35321100917431192</v>
      </c>
      <c r="I18" s="50">
        <f>Tableau79569396144277[[#This Row],[Colonne4]]*Tableau79569396144277[[#This Row],[Agnelles32]]</f>
        <v>38.884472049689442</v>
      </c>
      <c r="J18" s="168"/>
      <c r="K18" s="184">
        <f>'DONNÉES À ENTRER'!D20*'Grille de calculs - PATERNELLE'!$K$8*'DONNÉES À ENTRER'!D31/60</f>
        <v>5.5155279503105596</v>
      </c>
      <c r="L18" s="90">
        <f>'DONNÉES À ENTRER'!D20*'Grille de calculs - PATERNELLE'!$L$8*'DONNÉES À ENTRER'!D31/60</f>
        <v>23.716770186335406</v>
      </c>
      <c r="M18" s="91">
        <f>+'DONNÉES À ENTRER'!D20*'Grille de calculs - PATERNELLE'!$M$8*'DONNÉES À ENTRER'!D31/60</f>
        <v>60.119254658385096</v>
      </c>
      <c r="N18" s="45">
        <f>+(((+'DONNÉES À ENTRER'!D5*'DONNÉES À ENTRER'!D6)/2)-K8)/M8</f>
        <v>0.64678899082568808</v>
      </c>
      <c r="O18" s="510">
        <f>1-Tableau79569396144277[[#This Row],[Agnelles32]]</f>
        <v>0.35321100917431192</v>
      </c>
      <c r="P18" s="31">
        <f>Tableau79569396144277[[#This Row],[Colonne4]]*Tableau79569396144277[[#This Row],[Agnelles32]]</f>
        <v>38.884472049689442</v>
      </c>
      <c r="Q18" s="2"/>
    </row>
    <row r="19" spans="1:17" x14ac:dyDescent="0.25">
      <c r="A19" s="157"/>
      <c r="B19" s="151" t="s">
        <v>117</v>
      </c>
      <c r="C19" s="59" t="s">
        <v>6</v>
      </c>
      <c r="D19" s="89">
        <f>'DONNÉES À ENTRER'!B21*'Grille de calculs - PATERNELLE'!$D$8*'DONNÉES À ENTRER'!B31/60</f>
        <v>11.840000000000002</v>
      </c>
      <c r="E19" s="90">
        <f>'DONNÉES À ENTRER'!B21*'Grille de calculs - PATERNELLE'!$E$8*'DONNÉES À ENTRER'!B31/60</f>
        <v>50.912000000000006</v>
      </c>
      <c r="F19" s="91">
        <f>+'DONNÉES À ENTRER'!B21*'Grille de calculs - PATERNELLE'!$F$8*'DONNÉES À ENTRER'!B31/60</f>
        <v>129.05600000000001</v>
      </c>
      <c r="G19" s="45">
        <f>+(((+'DONNÉES À ENTRER'!B5*'DONNÉES À ENTRER'!B6)/2)-D8)/F8</f>
        <v>0.64678899082568808</v>
      </c>
      <c r="H19" s="204">
        <f>1-Tableau79569396144277[[#This Row],[Agnelles32]]</f>
        <v>0.35321100917431192</v>
      </c>
      <c r="I19" s="50">
        <f>Tableau79569396144277[[#This Row],[Colonne4]]*Tableau79569396144277[[#This Row],[Agnelles32]]</f>
        <v>83.472000000000008</v>
      </c>
      <c r="J19" s="168"/>
      <c r="K19" s="184">
        <f>'DONNÉES À ENTRER'!D21*'Grille de calculs - PATERNELLE'!$K$8*'DONNÉES À ENTRER'!D31/60</f>
        <v>11.840000000000002</v>
      </c>
      <c r="L19" s="90">
        <f>'DONNÉES À ENTRER'!D21*'Grille de calculs - PATERNELLE'!$L$8*'DONNÉES À ENTRER'!D31/60</f>
        <v>50.912000000000006</v>
      </c>
      <c r="M19" s="91">
        <f>+'DONNÉES À ENTRER'!D21*'Grille de calculs - PATERNELLE'!$M$8*'DONNÉES À ENTRER'!D31/60</f>
        <v>129.05600000000001</v>
      </c>
      <c r="N19" s="45">
        <f>+(((+'DONNÉES À ENTRER'!D5*'DONNÉES À ENTRER'!D6)/2)-K8)/M8</f>
        <v>0.64678899082568808</v>
      </c>
      <c r="O19" s="510">
        <f>1-Tableau79569396144277[[#This Row],[Agnelles32]]</f>
        <v>0.35321100917431192</v>
      </c>
      <c r="P19" s="31">
        <f>Tableau79569396144277[[#This Row],[Colonne4]]*Tableau79569396144277[[#This Row],[Agnelles32]]</f>
        <v>83.472000000000008</v>
      </c>
      <c r="Q19" s="2"/>
    </row>
    <row r="20" spans="1:17" ht="17.25" x14ac:dyDescent="0.25">
      <c r="A20" s="157"/>
      <c r="B20" s="151" t="s">
        <v>120</v>
      </c>
      <c r="C20" s="59" t="s">
        <v>6</v>
      </c>
      <c r="D20" s="89">
        <f>'DONNÉES À ENTRER'!B22*'Grille de calculs - PATERNELLE'!$D$8*'DONNÉES À ENTRER'!B31/60</f>
        <v>44.400000000000006</v>
      </c>
      <c r="E20" s="90">
        <f>'DONNÉES À ENTRER'!B22*'Grille de calculs - PATERNELLE'!$E$8*'DONNÉES À ENTRER'!B31/60</f>
        <v>190.92000000000002</v>
      </c>
      <c r="F20" s="91">
        <f>+'DONNÉES À ENTRER'!B22*'Grille de calculs - PATERNELLE'!$F$8*'DONNÉES À ENTRER'!B31/60</f>
        <v>483.96000000000004</v>
      </c>
      <c r="G20" s="45">
        <f>+(((+'DONNÉES À ENTRER'!B5*'DONNÉES À ENTRER'!B6)/2)-D8)/F8</f>
        <v>0.64678899082568808</v>
      </c>
      <c r="H20" s="204">
        <f>1-Tableau79569396144277[[#This Row],[Agnelles32]]</f>
        <v>0.35321100917431192</v>
      </c>
      <c r="I20" s="50">
        <f>Tableau79569396144277[[#This Row],[Colonne4]]*Tableau79569396144277[[#This Row],[Agnelles32]]</f>
        <v>313.02000000000004</v>
      </c>
      <c r="J20" s="168"/>
      <c r="K20" s="184">
        <f>'DONNÉES À ENTRER'!D22*'Grille de calculs - PATERNELLE'!$K$8*'DONNÉES À ENTRER'!D31/60</f>
        <v>44.400000000000006</v>
      </c>
      <c r="L20" s="90">
        <f>'DONNÉES À ENTRER'!D22*'Grille de calculs - PATERNELLE'!$L$8*'DONNÉES À ENTRER'!D31/60</f>
        <v>190.92000000000002</v>
      </c>
      <c r="M20" s="91">
        <f>+'DONNÉES À ENTRER'!D22*'Grille de calculs - PATERNELLE'!$M$8*'DONNÉES À ENTRER'!D31/60</f>
        <v>483.96000000000004</v>
      </c>
      <c r="N20" s="45">
        <f>+(((+'DONNÉES À ENTRER'!D5*'DONNÉES À ENTRER'!D6)/2)-K8)/M8</f>
        <v>0.64678899082568808</v>
      </c>
      <c r="O20" s="510">
        <f>1-Tableau79569396144277[[#This Row],[Agnelles32]]</f>
        <v>0.35321100917431192</v>
      </c>
      <c r="P20" s="31">
        <f>Tableau79569396144277[[#This Row],[Colonne4]]*Tableau79569396144277[[#This Row],[Agnelles32]]</f>
        <v>313.02000000000004</v>
      </c>
      <c r="Q20" s="2"/>
    </row>
    <row r="21" spans="1:17" x14ac:dyDescent="0.25">
      <c r="A21" s="157"/>
      <c r="B21" s="148"/>
      <c r="C21" s="59"/>
      <c r="D21" s="92"/>
      <c r="E21" s="93"/>
      <c r="F21" s="94"/>
      <c r="G21" s="26"/>
      <c r="H21" s="49"/>
      <c r="I21" s="50">
        <f>Tableau79569396144277[[#This Row],[Colonne4]]*Tableau79569396144277[[#This Row],[Agnelles32]]</f>
        <v>0</v>
      </c>
      <c r="J21" s="168"/>
      <c r="K21" s="185"/>
      <c r="L21" s="93"/>
      <c r="M21" s="94"/>
      <c r="N21" s="26"/>
      <c r="O21" s="21"/>
      <c r="P21" s="31">
        <f>Tableau79569396144277[[#This Row],[Colonne4]]*Tableau79569396144277[[#This Row],[Agnelles32]]</f>
        <v>0</v>
      </c>
      <c r="Q21" s="2"/>
    </row>
    <row r="22" spans="1:17" x14ac:dyDescent="0.25">
      <c r="A22" s="157"/>
      <c r="B22" s="158" t="s">
        <v>215</v>
      </c>
      <c r="C22" s="60"/>
      <c r="D22" s="95"/>
      <c r="E22" s="96"/>
      <c r="F22" s="97"/>
      <c r="G22" s="26"/>
      <c r="H22" s="49"/>
      <c r="I22" s="50">
        <f>Tableau79569396144277[[#This Row],[Colonne4]]*Tableau79569396144277[[#This Row],[Agnelles32]]</f>
        <v>0</v>
      </c>
      <c r="J22" s="168"/>
      <c r="K22" s="186"/>
      <c r="L22" s="96"/>
      <c r="M22" s="97"/>
      <c r="N22" s="26"/>
      <c r="O22" s="21"/>
      <c r="P22" s="31">
        <f>Tableau79569396144277[[#This Row],[Colonne4]]*Tableau79569396144277[[#This Row],[Agnelles32]]</f>
        <v>0</v>
      </c>
      <c r="Q22" s="2"/>
    </row>
    <row r="23" spans="1:17" x14ac:dyDescent="0.25">
      <c r="A23" s="157"/>
      <c r="B23" s="159"/>
      <c r="C23" s="59"/>
      <c r="D23" s="98"/>
      <c r="E23" s="99"/>
      <c r="F23" s="100"/>
      <c r="G23" s="26"/>
      <c r="H23" s="49"/>
      <c r="I23" s="50">
        <f>Tableau79569396144277[[#This Row],[Colonne4]]*Tableau79569396144277[[#This Row],[Agnelles32]]</f>
        <v>0</v>
      </c>
      <c r="J23" s="168"/>
      <c r="K23" s="187"/>
      <c r="L23" s="99"/>
      <c r="M23" s="100"/>
      <c r="N23" s="26"/>
      <c r="O23" s="21"/>
      <c r="P23" s="31">
        <f>Tableau79569396144277[[#This Row],[Colonne4]]*Tableau79569396144277[[#This Row],[Agnelles32]]</f>
        <v>0</v>
      </c>
      <c r="Q23" s="2"/>
    </row>
    <row r="24" spans="1:17" x14ac:dyDescent="0.25">
      <c r="A24" s="157" t="s">
        <v>211</v>
      </c>
      <c r="B24" s="150" t="s">
        <v>7</v>
      </c>
      <c r="C24" s="59"/>
      <c r="D24" s="98"/>
      <c r="E24" s="99"/>
      <c r="F24" s="100"/>
      <c r="G24" s="26"/>
      <c r="H24" s="49"/>
      <c r="I24" s="51">
        <f>Tableau79569396144277[[#This Row],[Colonne4]]*Tableau79569396144277[[#This Row],[Agnelles32]]</f>
        <v>0</v>
      </c>
      <c r="J24" s="167"/>
      <c r="K24" s="187"/>
      <c r="L24" s="99"/>
      <c r="M24" s="100"/>
      <c r="N24" s="26"/>
      <c r="O24" s="21"/>
      <c r="P24" s="31"/>
      <c r="Q24" s="2"/>
    </row>
    <row r="25" spans="1:17" x14ac:dyDescent="0.25">
      <c r="A25" s="157"/>
      <c r="B25" s="160" t="s">
        <v>213</v>
      </c>
      <c r="C25" s="67" t="s">
        <v>118</v>
      </c>
      <c r="D25" s="137"/>
      <c r="E25" s="138"/>
      <c r="F25" s="139">
        <f>+(IF(ISBLANK('DONNÉES À ENTRER'!J56),('DONNÉES À ENTRER'!B5*'DONNÉES À ENTRER'!B6/2*'DONNÉES À ENTRER'!J57),'DONNÉES À ENTRER'!J56))+(IF(ISBLANK('DONNÉES À ENTRER'!J58),('DONNÉES À ENTRER'!B5*'DONNÉES À ENTRER'!B6/2*'DONNÉES À ENTRER'!J59),'DONNÉES À ENTRER'!J58))</f>
        <v>16</v>
      </c>
      <c r="G25" s="27"/>
      <c r="H25" s="49"/>
      <c r="I25" s="50">
        <f>Tableau79569396144277[[#This Row],[Colonne4]]*Tableau79569396144277[[#This Row],[Agnelles32]]</f>
        <v>0</v>
      </c>
      <c r="J25" s="168"/>
      <c r="K25" s="207"/>
      <c r="L25" s="138"/>
      <c r="M25" s="139">
        <f>+(IF(ISBLANK('DONNÉES À ENTRER'!L56),('DONNÉES À ENTRER'!D5*'DONNÉES À ENTRER'!D6/2*'DONNÉES À ENTRER'!L57),'DONNÉES À ENTRER'!L56))+(IF(ISBLANK('DONNÉES À ENTRER'!L58),('DONNÉES À ENTRER'!D5*'DONNÉES À ENTRER'!D6/2*'DONNÉES À ENTRER'!L59),'DONNÉES À ENTRER'!L58))</f>
        <v>16</v>
      </c>
      <c r="N25" s="27"/>
      <c r="O25" s="21"/>
      <c r="P25" s="31">
        <f>Tableau79569396144277[[#This Row],[Colonne4]]*Tableau79569396144277[[#This Row],[Agnelles32]]</f>
        <v>0</v>
      </c>
      <c r="Q25" s="2"/>
    </row>
    <row r="26" spans="1:17" x14ac:dyDescent="0.25">
      <c r="A26" s="157"/>
      <c r="B26" s="161"/>
      <c r="C26" s="61"/>
      <c r="D26" s="101"/>
      <c r="E26" s="93"/>
      <c r="F26" s="94"/>
      <c r="G26" s="26"/>
      <c r="H26" s="49"/>
      <c r="I26" s="50">
        <f>Tableau79569396144277[[#This Row],[Colonne4]]*Tableau79569396144277[[#This Row],[Agnelles32]]</f>
        <v>0</v>
      </c>
      <c r="J26" s="168"/>
      <c r="K26" s="188"/>
      <c r="L26" s="93"/>
      <c r="M26" s="94"/>
      <c r="N26" s="26"/>
      <c r="O26" s="21"/>
      <c r="P26" s="31">
        <f>Tableau79569396144277[[#This Row],[Colonne4]]*Tableau79569396144277[[#This Row],[Agnelles32]]</f>
        <v>0</v>
      </c>
      <c r="Q26" s="2"/>
    </row>
    <row r="27" spans="1:17" s="4" customFormat="1" ht="21" x14ac:dyDescent="0.25">
      <c r="A27" s="145" t="s">
        <v>89</v>
      </c>
      <c r="B27" s="146"/>
      <c r="C27" s="62"/>
      <c r="D27" s="102"/>
      <c r="E27" s="103"/>
      <c r="F27" s="104"/>
      <c r="G27" s="38"/>
      <c r="H27" s="49"/>
      <c r="I27" s="50">
        <f>Tableau79569396144277[[#This Row],[Colonne4]]*Tableau79569396144277[[#This Row],[Agnelles32]]</f>
        <v>0</v>
      </c>
      <c r="J27" s="168"/>
      <c r="K27" s="189"/>
      <c r="L27" s="103"/>
      <c r="M27" s="104"/>
      <c r="N27" s="38"/>
      <c r="O27" s="44"/>
      <c r="P27" s="205">
        <f>Tableau79569396144277[[#This Row],[Colonne4]]*Tableau79569396144277[[#This Row],[Agnelles32]]</f>
        <v>0</v>
      </c>
      <c r="Q27" s="6"/>
    </row>
    <row r="28" spans="1:17" s="2" customFormat="1" x14ac:dyDescent="0.25">
      <c r="A28" s="253"/>
      <c r="B28" s="149" t="s">
        <v>212</v>
      </c>
      <c r="C28" s="58" t="s">
        <v>118</v>
      </c>
      <c r="D28" s="123">
        <f>+D8</f>
        <v>10</v>
      </c>
      <c r="E28" s="141">
        <f>+E8</f>
        <v>43</v>
      </c>
      <c r="F28" s="142">
        <f>+F8-F25</f>
        <v>93</v>
      </c>
      <c r="G28" s="39"/>
      <c r="H28" s="44"/>
      <c r="I28" s="205">
        <f>Tableau79569396144277[[#This Row],[Colonne4]]*Tableau79569396144277[[#This Row],[Agnelles32]]</f>
        <v>0</v>
      </c>
      <c r="J28" s="168"/>
      <c r="K28" s="206">
        <f>+K8</f>
        <v>10</v>
      </c>
      <c r="L28" s="141">
        <f>+L8</f>
        <v>43</v>
      </c>
      <c r="M28" s="142">
        <f>+M8-M25</f>
        <v>93</v>
      </c>
      <c r="N28" s="39"/>
      <c r="O28" s="21"/>
      <c r="P28" s="31">
        <f>Tableau79569396144277[[#This Row],[Colonne4]]*Tableau79569396144277[[#This Row],[Agnelles32]]</f>
        <v>0</v>
      </c>
    </row>
    <row r="29" spans="1:17" x14ac:dyDescent="0.25">
      <c r="A29" s="157" t="s">
        <v>96</v>
      </c>
      <c r="B29" s="150" t="s">
        <v>160</v>
      </c>
      <c r="C29" s="61"/>
      <c r="D29" s="92"/>
      <c r="E29" s="93"/>
      <c r="F29" s="94"/>
      <c r="G29" s="26"/>
      <c r="H29" s="49"/>
      <c r="I29" s="50">
        <f>Tableau79569396144277[[#This Row],[Colonne4]]*Tableau79569396144277[[#This Row],[Agnelles32]]</f>
        <v>0</v>
      </c>
      <c r="J29" s="168"/>
      <c r="K29" s="185"/>
      <c r="L29" s="93"/>
      <c r="M29" s="94"/>
      <c r="N29" s="26"/>
      <c r="O29" s="21"/>
      <c r="P29" s="31">
        <f>Tableau79569396144277[[#This Row],[Colonne4]]*Tableau79569396144277[[#This Row],[Agnelles32]]</f>
        <v>0</v>
      </c>
      <c r="Q29" s="2"/>
    </row>
    <row r="30" spans="1:17" x14ac:dyDescent="0.25">
      <c r="A30" s="157"/>
      <c r="B30" s="162" t="s">
        <v>161</v>
      </c>
      <c r="C30" s="61" t="s">
        <v>6</v>
      </c>
      <c r="D30" s="89">
        <f>'DONNÉES À ENTRER'!B92*'Grille de calculs - PATERNELLE'!D28</f>
        <v>236.7680294117647</v>
      </c>
      <c r="E30" s="90"/>
      <c r="F30" s="91"/>
      <c r="G30" s="26"/>
      <c r="H30" s="49"/>
      <c r="I30" s="50">
        <f>Tableau79569396144277[[#This Row],[Colonne4]]*Tableau79569396144277[[#This Row],[Agnelles32]]</f>
        <v>0</v>
      </c>
      <c r="J30" s="168"/>
      <c r="K30" s="184">
        <f>'DONNÉES À ENTRER'!D92*'Grille de calculs - PATERNELLE'!K28</f>
        <v>236.7680294117647</v>
      </c>
      <c r="L30" s="90"/>
      <c r="M30" s="91"/>
      <c r="N30" s="26"/>
      <c r="O30" s="21"/>
      <c r="P30" s="31">
        <f>Tableau79569396144277[[#This Row],[Colonne4]]*Tableau79569396144277[[#This Row],[Agnelles32]]</f>
        <v>0</v>
      </c>
      <c r="Q30" s="2"/>
    </row>
    <row r="31" spans="1:17" x14ac:dyDescent="0.25">
      <c r="A31" s="248"/>
      <c r="B31" s="249" t="s">
        <v>162</v>
      </c>
      <c r="C31" s="250" t="s">
        <v>6</v>
      </c>
      <c r="D31" s="233"/>
      <c r="E31" s="234">
        <f>'DONNÉES À ENTRER'!B118*'Grille de calculs - PATERNELLE'!E28</f>
        <v>758.98813509803927</v>
      </c>
      <c r="F31" s="235"/>
      <c r="G31" s="236"/>
      <c r="H31" s="251"/>
      <c r="I31" s="246">
        <f>Tableau79569396144277[[#This Row],[Colonne4]]*Tableau79569396144277[[#This Row],[Agnelles32]]</f>
        <v>0</v>
      </c>
      <c r="J31" s="168"/>
      <c r="K31" s="239"/>
      <c r="L31" s="234">
        <f>'DONNÉES À ENTRER'!D118*'Grille de calculs - PATERNELLE'!L28</f>
        <v>758.98813509803927</v>
      </c>
      <c r="M31" s="235"/>
      <c r="N31" s="26"/>
      <c r="O31" s="21"/>
      <c r="P31" s="31">
        <f>Tableau79569396144277[[#This Row],[Colonne4]]*Tableau79569396144277[[#This Row],[Agnelles32]]</f>
        <v>0</v>
      </c>
      <c r="Q31" s="2"/>
    </row>
    <row r="32" spans="1:17" x14ac:dyDescent="0.25">
      <c r="A32" s="157" t="s">
        <v>97</v>
      </c>
      <c r="B32" s="154" t="s">
        <v>17</v>
      </c>
      <c r="C32" s="61"/>
      <c r="D32" s="89"/>
      <c r="E32" s="90"/>
      <c r="F32" s="91"/>
      <c r="G32" s="26"/>
      <c r="H32" s="49"/>
      <c r="I32" s="50">
        <f>Tableau79569396144277[[#This Row],[Colonne4]]*Tableau79569396144277[[#This Row],[Agnelles32]]</f>
        <v>0</v>
      </c>
      <c r="J32" s="168"/>
      <c r="K32" s="184"/>
      <c r="L32" s="90"/>
      <c r="M32" s="91"/>
      <c r="N32" s="26"/>
      <c r="O32" s="21"/>
      <c r="P32" s="31">
        <f>Tableau79569396144277[[#This Row],[Colonne4]]*Tableau79569396144277[[#This Row],[Agnelles32]]</f>
        <v>0</v>
      </c>
      <c r="Q32" s="2"/>
    </row>
    <row r="33" spans="1:246" x14ac:dyDescent="0.25">
      <c r="A33" s="157"/>
      <c r="B33" s="151" t="s">
        <v>119</v>
      </c>
      <c r="C33" s="61" t="s">
        <v>6</v>
      </c>
      <c r="D33" s="89">
        <f>'DONNÉES À ENTRER'!B23*'Grille de calculs - PATERNELLE'!D28*'DONNÉES À ENTRER'!B31/60</f>
        <v>14.800000000000002</v>
      </c>
      <c r="E33" s="90">
        <f>'DONNÉES À ENTRER'!B23*'Grille de calculs - PATERNELLE'!E28*'DONNÉES À ENTRER'!B31/60</f>
        <v>63.640000000000008</v>
      </c>
      <c r="F33" s="91">
        <f>+'DONNÉES À ENTRER'!B23*'Grille de calculs - PATERNELLE'!F28*'DONNÉES À ENTRER'!B31/60</f>
        <v>137.64000000000001</v>
      </c>
      <c r="G33" s="45">
        <f>+('DONNÉES À ENTRER'!J64+'DONNÉES À ENTRER'!J60)/'Grille de calculs - PATERNELLE'!F28</f>
        <v>0.67741935483870963</v>
      </c>
      <c r="H33" s="204">
        <f>1-Tableau79569396144277[[#This Row],[Agnelles32]]</f>
        <v>0.32258064516129037</v>
      </c>
      <c r="I33" s="50">
        <f>Tableau79569396144277[[#This Row],[Colonne4]]*Tableau79569396144277[[#This Row],[Agnelles32]]</f>
        <v>93.240000000000009</v>
      </c>
      <c r="J33" s="168"/>
      <c r="K33" s="184">
        <f>'DONNÉES À ENTRER'!D23*'Grille de calculs - PATERNELLE'!K28*'DONNÉES À ENTRER'!D31/60</f>
        <v>14.800000000000002</v>
      </c>
      <c r="L33" s="90">
        <f>'DONNÉES À ENTRER'!D23*'Grille de calculs - PATERNELLE'!L28*'DONNÉES À ENTRER'!D31/60</f>
        <v>63.640000000000008</v>
      </c>
      <c r="M33" s="91">
        <f>+'DONNÉES À ENTRER'!D23*'Grille de calculs - PATERNELLE'!M28*'DONNÉES À ENTRER'!D31/60</f>
        <v>137.64000000000001</v>
      </c>
      <c r="N33" s="45">
        <f>+('DONNÉES À ENTRER'!L64+'DONNÉES À ENTRER'!L60)/'Grille de calculs - PATERNELLE'!M28</f>
        <v>0.67741935483870963</v>
      </c>
      <c r="O33" s="510">
        <f>1-N33</f>
        <v>0.32258064516129037</v>
      </c>
      <c r="P33" s="31">
        <f>M33*N33</f>
        <v>93.240000000000009</v>
      </c>
      <c r="Q33" s="2"/>
    </row>
    <row r="34" spans="1:246" x14ac:dyDescent="0.25">
      <c r="A34" s="152"/>
      <c r="B34" s="153" t="s">
        <v>127</v>
      </c>
      <c r="C34" s="61" t="s">
        <v>6</v>
      </c>
      <c r="D34" s="89">
        <f>('DONNÉES À ENTRER'!B27/60*'DONNÉES À ENTRER'!B31)*'Grille de calculs - PATERNELLE'!D28*'DONNÉES À ENTRER'!B31/60</f>
        <v>2.6284800000000006</v>
      </c>
      <c r="E34" s="90">
        <f>('DONNÉES À ENTRER'!B27/60*'DONNÉES À ENTRER'!B31)*'Grille de calculs - PATERNELLE'!E28*'DONNÉES À ENTRER'!B31/60</f>
        <v>11.302464000000002</v>
      </c>
      <c r="F34" s="91">
        <f>+('DONNÉES À ENTRER'!B27/60*'DONNÉES À ENTRER'!B31)*'Grille de calculs - PATERNELLE'!F28*'DONNÉES À ENTRER'!B31/60</f>
        <v>24.444864000000006</v>
      </c>
      <c r="G34" s="45">
        <f>+('DONNÉES À ENTRER'!J64+'DONNÉES À ENTRER'!J60)/'Grille de calculs - PATERNELLE'!F28</f>
        <v>0.67741935483870963</v>
      </c>
      <c r="H34" s="204">
        <f>1-Tableau79569396144277[[#This Row],[Agnelles32]]</f>
        <v>0.32258064516129037</v>
      </c>
      <c r="I34" s="50">
        <f>Tableau79569396144277[[#This Row],[Colonne4]]*Tableau79569396144277[[#This Row],[Agnelles32]]</f>
        <v>16.559424000000003</v>
      </c>
      <c r="J34" s="168"/>
      <c r="K34" s="184">
        <f>('DONNÉES À ENTRER'!D27/60*'DONNÉES À ENTRER'!D31)*'Grille de calculs - PATERNELLE'!K28*'DONNÉES À ENTRER'!D31/60</f>
        <v>2.6284800000000006</v>
      </c>
      <c r="L34" s="90">
        <f>('DONNÉES À ENTRER'!D27/60*'DONNÉES À ENTRER'!D31)*'Grille de calculs - PATERNELLE'!L28*'DONNÉES À ENTRER'!D31/60</f>
        <v>11.302464000000002</v>
      </c>
      <c r="M34" s="91">
        <f>+('DONNÉES À ENTRER'!D27/60*'DONNÉES À ENTRER'!D31)*'Grille de calculs - PATERNELLE'!M28*'DONNÉES À ENTRER'!D31/60</f>
        <v>24.444864000000006</v>
      </c>
      <c r="N34" s="45">
        <f>+('DONNÉES À ENTRER'!L64+'DONNÉES À ENTRER'!L60)/'Grille de calculs - PATERNELLE'!M28</f>
        <v>0.67741935483870963</v>
      </c>
      <c r="O34" s="510">
        <f t="shared" ref="O34:O35" si="0">1-N34</f>
        <v>0.32258064516129037</v>
      </c>
      <c r="P34" s="31">
        <f t="shared" ref="P34:P36" si="1">M34*N34</f>
        <v>16.559424000000003</v>
      </c>
      <c r="Q34" s="13"/>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row>
    <row r="35" spans="1:246" ht="17.25" x14ac:dyDescent="0.25">
      <c r="A35" s="248"/>
      <c r="B35" s="252" t="s">
        <v>121</v>
      </c>
      <c r="C35" s="250" t="s">
        <v>6</v>
      </c>
      <c r="D35" s="233">
        <f>'DONNÉES À ENTRER'!B24*'Grille de calculs - PATERNELLE'!D28*'DONNÉES À ENTRER'!B31/60</f>
        <v>23.680000000000003</v>
      </c>
      <c r="E35" s="234">
        <f>'DONNÉES À ENTRER'!B24*'Grille de calculs - PATERNELLE'!E28*'DONNÉES À ENTRER'!B31/60</f>
        <v>101.82400000000001</v>
      </c>
      <c r="F35" s="235">
        <f>+'DONNÉES À ENTRER'!B24*'Grille de calculs - PATERNELLE'!F28*'DONNÉES À ENTRER'!B31/60</f>
        <v>220.22400000000002</v>
      </c>
      <c r="G35" s="244">
        <f>+('DONNÉES À ENTRER'!J64+'DONNÉES À ENTRER'!J60)/'Grille de calculs - PATERNELLE'!F28</f>
        <v>0.67741935483870963</v>
      </c>
      <c r="H35" s="245">
        <f>1-Tableau79569396144277[[#This Row],[Agnelles32]]</f>
        <v>0.32258064516129037</v>
      </c>
      <c r="I35" s="246">
        <f>Tableau79569396144277[[#This Row],[Colonne4]]*Tableau79569396144277[[#This Row],[Agnelles32]]</f>
        <v>149.184</v>
      </c>
      <c r="J35" s="168"/>
      <c r="K35" s="239">
        <f>'DONNÉES À ENTRER'!D24*'Grille de calculs - PATERNELLE'!K28*'DONNÉES À ENTRER'!D31/60</f>
        <v>23.680000000000003</v>
      </c>
      <c r="L35" s="234">
        <f>'DONNÉES À ENTRER'!D24*'Grille de calculs - PATERNELLE'!L28*'DONNÉES À ENTRER'!D31/60</f>
        <v>101.82400000000001</v>
      </c>
      <c r="M35" s="235">
        <f>+'DONNÉES À ENTRER'!D24*'Grille de calculs - PATERNELLE'!M28*'DONNÉES À ENTRER'!D31/60</f>
        <v>220.22400000000002</v>
      </c>
      <c r="N35" s="45">
        <f>+('DONNÉES À ENTRER'!L64+'DONNÉES À ENTRER'!L60)/'Grille de calculs - PATERNELLE'!M28</f>
        <v>0.67741935483870963</v>
      </c>
      <c r="O35" s="510">
        <f t="shared" si="0"/>
        <v>0.32258064516129037</v>
      </c>
      <c r="P35" s="31">
        <f t="shared" si="1"/>
        <v>149.184</v>
      </c>
      <c r="Q35" s="2"/>
    </row>
    <row r="36" spans="1:246" x14ac:dyDescent="0.25">
      <c r="A36" s="152" t="s">
        <v>110</v>
      </c>
      <c r="B36" s="150" t="s">
        <v>43</v>
      </c>
      <c r="C36" s="61"/>
      <c r="D36" s="89"/>
      <c r="E36" s="90"/>
      <c r="F36" s="91"/>
      <c r="G36" s="45"/>
      <c r="H36" s="49"/>
      <c r="I36" s="50">
        <f>Tableau79569396144277[[#This Row],[Colonne4]]*Tableau79569396144277[[#This Row],[Agnelles32]]</f>
        <v>0</v>
      </c>
      <c r="J36" s="168"/>
      <c r="K36" s="184"/>
      <c r="L36" s="90"/>
      <c r="M36" s="91"/>
      <c r="N36" s="45"/>
      <c r="O36" s="510"/>
      <c r="P36" s="31">
        <f t="shared" si="1"/>
        <v>0</v>
      </c>
      <c r="Q36" s="13"/>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row>
    <row r="37" spans="1:246" x14ac:dyDescent="0.25">
      <c r="A37" s="152"/>
      <c r="B37" s="153" t="s">
        <v>127</v>
      </c>
      <c r="C37" s="61" t="s">
        <v>6</v>
      </c>
      <c r="D37" s="89">
        <f>'DONNÉES À ENTRER'!B34*D28</f>
        <v>13.4</v>
      </c>
      <c r="E37" s="90">
        <f>'DONNÉES À ENTRER'!B34*E28</f>
        <v>57.620000000000005</v>
      </c>
      <c r="F37" s="91">
        <f>+'DONNÉES À ENTRER'!B34*F28</f>
        <v>124.62</v>
      </c>
      <c r="G37" s="45">
        <f>+('DONNÉES À ENTRER'!J64+'DONNÉES À ENTRER'!J60)/'Grille de calculs - PATERNELLE'!F28</f>
        <v>0.67741935483870963</v>
      </c>
      <c r="H37" s="204">
        <f>1-Tableau79569396144277[[#This Row],[Agnelles32]]</f>
        <v>0.32258064516129037</v>
      </c>
      <c r="I37" s="50">
        <f>Tableau79569396144277[[#This Row],[Colonne4]]*Tableau79569396144277[[#This Row],[Agnelles32]]</f>
        <v>84.42</v>
      </c>
      <c r="J37" s="168"/>
      <c r="K37" s="184">
        <f>'DONNÉES À ENTRER'!D34*K28</f>
        <v>13.4</v>
      </c>
      <c r="L37" s="90">
        <f>'DONNÉES À ENTRER'!D34*L28</f>
        <v>57.620000000000005</v>
      </c>
      <c r="M37" s="91">
        <f>+'DONNÉES À ENTRER'!D34*M28</f>
        <v>124.62</v>
      </c>
      <c r="N37" s="45">
        <f>+('DONNÉES À ENTRER'!L64+'DONNÉES À ENTRER'!L60)/'Grille de calculs - PATERNELLE'!M28</f>
        <v>0.67741935483870963</v>
      </c>
      <c r="O37" s="510">
        <f>1-N37</f>
        <v>0.32258064516129037</v>
      </c>
      <c r="P37" s="31">
        <f>M37*N37</f>
        <v>84.42</v>
      </c>
      <c r="Q37" s="13"/>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row>
    <row r="38" spans="1:246" x14ac:dyDescent="0.25">
      <c r="A38" s="157"/>
      <c r="B38" s="148"/>
      <c r="C38" s="61"/>
      <c r="D38" s="106"/>
      <c r="E38" s="99"/>
      <c r="F38" s="100"/>
      <c r="G38" s="26"/>
      <c r="H38" s="49"/>
      <c r="I38" s="50">
        <f>Tableau79569396144277[[#This Row],[Colonne4]]*Tableau79569396144277[[#This Row],[Agnelles32]]</f>
        <v>0</v>
      </c>
      <c r="J38" s="168"/>
      <c r="K38" s="191"/>
      <c r="L38" s="93"/>
      <c r="M38" s="94"/>
      <c r="N38" s="26"/>
      <c r="O38" s="21"/>
      <c r="P38" s="31">
        <f>Tableau79569396144277[[#This Row],[Colonne4]]*Tableau79569396144277[[#This Row],[Agnelles32]]</f>
        <v>0</v>
      </c>
      <c r="Q38" s="2"/>
    </row>
    <row r="39" spans="1:246" x14ac:dyDescent="0.25">
      <c r="A39" s="157"/>
      <c r="B39" s="158" t="s">
        <v>163</v>
      </c>
      <c r="C39" s="64"/>
      <c r="D39" s="107"/>
      <c r="E39" s="108"/>
      <c r="F39" s="109"/>
      <c r="G39" s="37"/>
      <c r="H39" s="49"/>
      <c r="I39" s="50">
        <f>Tableau79569396144277[[#This Row],[Colonne4]]*Tableau79569396144277[[#This Row],[Agnelles32]]</f>
        <v>0</v>
      </c>
      <c r="J39" s="168"/>
      <c r="K39" s="192"/>
      <c r="L39" s="108"/>
      <c r="M39" s="109"/>
      <c r="N39" s="37"/>
      <c r="O39" s="21"/>
      <c r="P39" s="31">
        <f>Tableau79569396144277[[#This Row],[Colonne4]]*Tableau79569396144277[[#This Row],[Agnelles32]]</f>
        <v>0</v>
      </c>
      <c r="Q39" s="2"/>
    </row>
    <row r="40" spans="1:246" x14ac:dyDescent="0.25">
      <c r="A40" s="157"/>
      <c r="B40" s="148"/>
      <c r="C40" s="61"/>
      <c r="D40" s="98"/>
      <c r="E40" s="110"/>
      <c r="F40" s="111"/>
      <c r="G40" s="37"/>
      <c r="H40" s="49"/>
      <c r="I40" s="50">
        <f>Tableau79569396144277[[#This Row],[Colonne4]]*Tableau79569396144277[[#This Row],[Agnelles32]]</f>
        <v>0</v>
      </c>
      <c r="J40" s="168"/>
      <c r="K40" s="185"/>
      <c r="L40" s="172"/>
      <c r="M40" s="173"/>
      <c r="N40" s="37"/>
      <c r="O40" s="21"/>
      <c r="P40" s="31">
        <f>Tableau79569396144277[[#This Row],[Colonne4]]*Tableau79569396144277[[#This Row],[Agnelles32]]</f>
        <v>0</v>
      </c>
      <c r="Q40" s="2"/>
    </row>
    <row r="41" spans="1:246" x14ac:dyDescent="0.25">
      <c r="A41" s="157" t="s">
        <v>164</v>
      </c>
      <c r="B41" s="150" t="s">
        <v>128</v>
      </c>
      <c r="C41" s="61"/>
      <c r="D41" s="98"/>
      <c r="E41" s="110"/>
      <c r="F41" s="100"/>
      <c r="G41" s="37"/>
      <c r="H41" s="49"/>
      <c r="I41" s="51">
        <f>Tableau79569396144277[[#This Row],[Colonne4]]*Tableau79569396144277[[#This Row],[Agnelles32]]</f>
        <v>0</v>
      </c>
      <c r="J41" s="167"/>
      <c r="K41" s="185"/>
      <c r="L41" s="172"/>
      <c r="M41" s="173"/>
      <c r="N41" s="37"/>
      <c r="O41" s="21"/>
      <c r="P41" s="31"/>
      <c r="Q41" s="2"/>
    </row>
    <row r="42" spans="1:246" x14ac:dyDescent="0.25">
      <c r="A42" s="157"/>
      <c r="B42" s="160" t="s">
        <v>136</v>
      </c>
      <c r="C42" s="63" t="s">
        <v>118</v>
      </c>
      <c r="D42" s="140"/>
      <c r="E42" s="138"/>
      <c r="F42" s="139">
        <f>+(IF(ISBLANK('DONNÉES À ENTRER'!J60),('DONNÉES À ENTRER'!B5*'DONNÉES À ENTRER'!B6/2*'DONNÉES À ENTRER'!J61),'DONNÉES À ENTRER'!J60))+(IF(ISBLANK('DONNÉES À ENTRER'!J62),('DONNÉES À ENTRER'!B5*'DONNÉES À ENTRER'!B6/2*'DONNÉES À ENTRER'!J63),'DONNÉES À ENTRER'!J62))</f>
        <v>91</v>
      </c>
      <c r="G42" s="27"/>
      <c r="H42" s="49"/>
      <c r="I42" s="50">
        <f>Tableau79569396144277[[#This Row],[Colonne4]]*Tableau79569396144277[[#This Row],[Agnelles32]]</f>
        <v>0</v>
      </c>
      <c r="J42" s="168"/>
      <c r="K42" s="230"/>
      <c r="L42" s="138"/>
      <c r="M42" s="139">
        <f>+(IF(ISBLANK('DONNÉES À ENTRER'!L60),('DONNÉES À ENTRER'!D5*'DONNÉES À ENTRER'!D6/2*'DONNÉES À ENTRER'!L61),'DONNÉES À ENTRER'!L60))+(IF(ISBLANK('DONNÉES À ENTRER'!L62),('DONNÉES À ENTRER'!D5*'DONNÉES À ENTRER'!D6/2*'DONNÉES À ENTRER'!L63),'DONNÉES À ENTRER'!L62))</f>
        <v>91</v>
      </c>
      <c r="N42" s="27"/>
      <c r="O42" s="21"/>
      <c r="P42" s="31">
        <f>Tableau79569396144277[[#This Row],[Colonne4]]*Tableau79569396144277[[#This Row],[Agnelles32]]</f>
        <v>0</v>
      </c>
      <c r="Q42" s="2"/>
    </row>
    <row r="43" spans="1:246" ht="15.75" thickBot="1" x14ac:dyDescent="0.3">
      <c r="A43" s="440"/>
      <c r="B43" s="441"/>
      <c r="C43" s="442"/>
      <c r="D43" s="443"/>
      <c r="E43" s="444"/>
      <c r="F43" s="445"/>
      <c r="G43" s="446"/>
      <c r="H43" s="447"/>
      <c r="I43" s="448">
        <f>Tableau79569396144277[[#This Row],[Colonne4]]*Tableau79569396144277[[#This Row],[Agnelles32]]</f>
        <v>0</v>
      </c>
      <c r="J43" s="449"/>
      <c r="K43" s="450"/>
      <c r="L43" s="444"/>
      <c r="M43" s="445"/>
      <c r="N43" s="26"/>
      <c r="O43" s="21"/>
      <c r="P43" s="31">
        <f>Tableau79569396144277[[#This Row],[Colonne4]]*Tableau79569396144277[[#This Row],[Agnelles32]]</f>
        <v>0</v>
      </c>
      <c r="Q43" s="2"/>
    </row>
    <row r="44" spans="1:246" s="4" customFormat="1" ht="21" x14ac:dyDescent="0.25">
      <c r="A44" s="145" t="s">
        <v>90</v>
      </c>
      <c r="B44" s="146"/>
      <c r="C44" s="62"/>
      <c r="D44" s="102"/>
      <c r="E44" s="103"/>
      <c r="F44" s="104"/>
      <c r="G44" s="38"/>
      <c r="H44" s="49"/>
      <c r="I44" s="50">
        <f>Tableau79569396144277[[#This Row],[Colonne4]]*Tableau79569396144277[[#This Row],[Agnelles32]]</f>
        <v>0</v>
      </c>
      <c r="J44" s="168"/>
      <c r="K44" s="189"/>
      <c r="L44" s="103"/>
      <c r="M44" s="104"/>
      <c r="N44" s="38"/>
      <c r="O44" s="44"/>
      <c r="P44" s="205">
        <f>Tableau79569396144277[[#This Row],[Colonne4]]*Tableau79569396144277[[#This Row],[Agnelles32]]</f>
        <v>0</v>
      </c>
      <c r="Q44" s="6"/>
    </row>
    <row r="45" spans="1:246" s="2" customFormat="1" x14ac:dyDescent="0.25">
      <c r="A45" s="253"/>
      <c r="B45" s="149" t="s">
        <v>212</v>
      </c>
      <c r="C45" s="58" t="s">
        <v>118</v>
      </c>
      <c r="D45" s="123">
        <f>+D8</f>
        <v>10</v>
      </c>
      <c r="E45" s="78">
        <f>+E8</f>
        <v>43</v>
      </c>
      <c r="F45" s="79">
        <f>+F28-F42</f>
        <v>2</v>
      </c>
      <c r="G45" s="27"/>
      <c r="H45" s="44"/>
      <c r="I45" s="205">
        <f>Tableau79569396144277[[#This Row],[Colonne4]]*Tableau79569396144277[[#This Row],[Agnelles32]]</f>
        <v>0</v>
      </c>
      <c r="J45" s="168"/>
      <c r="K45" s="206">
        <f>+K8</f>
        <v>10</v>
      </c>
      <c r="L45" s="78">
        <f>+L8</f>
        <v>43</v>
      </c>
      <c r="M45" s="79">
        <f>+M28-M42</f>
        <v>2</v>
      </c>
      <c r="N45" s="27"/>
      <c r="O45" s="21"/>
      <c r="P45" s="31">
        <f>Tableau79569396144277[[#This Row],[Colonne4]]*Tableau79569396144277[[#This Row],[Agnelles32]]</f>
        <v>0</v>
      </c>
    </row>
    <row r="46" spans="1:246" s="2" customFormat="1" x14ac:dyDescent="0.25">
      <c r="A46" s="174"/>
      <c r="B46" s="163"/>
      <c r="C46" s="65"/>
      <c r="D46" s="113"/>
      <c r="E46" s="114"/>
      <c r="F46" s="115"/>
      <c r="G46" s="27"/>
      <c r="H46" s="205"/>
      <c r="I46" s="205">
        <f>Tableau79569396144277[[#This Row],[Colonne4]]*Tableau79569396144277[[#This Row],[Agnelles32]]</f>
        <v>0</v>
      </c>
      <c r="J46" s="168"/>
      <c r="K46" s="193"/>
      <c r="L46" s="114"/>
      <c r="M46" s="115"/>
      <c r="N46" s="27"/>
      <c r="O46" s="31"/>
      <c r="P46" s="31">
        <f>Tableau79569396144277[[#This Row],[Colonne4]]*Tableau79569396144277[[#This Row],[Agnelles32]]</f>
        <v>0</v>
      </c>
    </row>
    <row r="47" spans="1:246" s="2" customFormat="1" x14ac:dyDescent="0.25">
      <c r="A47" s="157" t="s">
        <v>98</v>
      </c>
      <c r="B47" s="150" t="s">
        <v>165</v>
      </c>
      <c r="C47" s="65"/>
      <c r="D47" s="113"/>
      <c r="E47" s="114"/>
      <c r="F47" s="115"/>
      <c r="G47" s="27"/>
      <c r="H47" s="205"/>
      <c r="I47" s="205">
        <f>Tableau79569396144277[[#This Row],[Colonne4]]*Tableau79569396144277[[#This Row],[Agnelles32]]</f>
        <v>0</v>
      </c>
      <c r="J47" s="168"/>
      <c r="K47" s="193"/>
      <c r="L47" s="114"/>
      <c r="M47" s="115"/>
      <c r="N47" s="27"/>
      <c r="O47" s="31"/>
      <c r="P47" s="31">
        <f>Tableau79569396144277[[#This Row],[Colonne4]]*Tableau79569396144277[[#This Row],[Agnelles32]]</f>
        <v>0</v>
      </c>
    </row>
    <row r="48" spans="1:246" s="2" customFormat="1" x14ac:dyDescent="0.25">
      <c r="A48" s="152"/>
      <c r="B48" s="162" t="s">
        <v>166</v>
      </c>
      <c r="C48" s="65" t="s">
        <v>6</v>
      </c>
      <c r="D48" s="89">
        <f>+D45*'DONNÉES À ENTRER'!B101</f>
        <v>489.0750352941177</v>
      </c>
      <c r="E48" s="116"/>
      <c r="F48" s="91">
        <f>+'DONNÉES À ENTRER'!J64*'DONNÉES À ENTRER'!B101</f>
        <v>48.90750352941177</v>
      </c>
      <c r="G48" s="46">
        <v>1</v>
      </c>
      <c r="H48" s="204">
        <f>1-Tableau79569396144277[[#This Row],[Agnelles32]]</f>
        <v>0</v>
      </c>
      <c r="I48" s="205">
        <f>Tableau79569396144277[[#This Row],[Colonne4]]*Tableau79569396144277[[#This Row],[Agnelles32]]</f>
        <v>48.90750352941177</v>
      </c>
      <c r="J48" s="168"/>
      <c r="K48" s="184">
        <f>+K45*'DONNÉES À ENTRER'!D101</f>
        <v>489.0750352941177</v>
      </c>
      <c r="L48" s="116"/>
      <c r="M48" s="91">
        <f>+'DONNÉES À ENTRER'!L64*'DONNÉES À ENTRER'!D101</f>
        <v>48.90750352941177</v>
      </c>
      <c r="N48" s="46">
        <v>1</v>
      </c>
      <c r="O48" s="510">
        <f>1-Tableau79569396144277[[#This Row],[Agnelles32]]</f>
        <v>0</v>
      </c>
      <c r="P48" s="31">
        <f>Tableau79569396144277[[#This Row],[Colonne4]]*Tableau79569396144277[[#This Row],[Agnelles32]]</f>
        <v>48.90750352941177</v>
      </c>
    </row>
    <row r="49" spans="1:246" s="2" customFormat="1" x14ac:dyDescent="0.25">
      <c r="A49" s="240"/>
      <c r="B49" s="249" t="s">
        <v>167</v>
      </c>
      <c r="C49" s="254" t="s">
        <v>6</v>
      </c>
      <c r="D49" s="255"/>
      <c r="E49" s="234">
        <f>+E45*'DONNÉES À ENTRER'!B127</f>
        <v>1389.5522509803925</v>
      </c>
      <c r="F49" s="235">
        <f>+'DONNÉES À ENTRER'!J66*'DONNÉES À ENTRER'!B127</f>
        <v>32.315168627450987</v>
      </c>
      <c r="G49" s="256"/>
      <c r="H49" s="245">
        <f>1-Tableau79569396144277[[#This Row],[Agnelles32]]</f>
        <v>1</v>
      </c>
      <c r="I49" s="238">
        <f>Tableau79569396144277[[#This Row],[Colonne4]]*Tableau79569396144277[[#This Row],[Agnelles32]]</f>
        <v>0</v>
      </c>
      <c r="J49" s="168"/>
      <c r="K49" s="257"/>
      <c r="L49" s="234">
        <f>+L45*'DONNÉES À ENTRER'!D127</f>
        <v>1389.5522509803925</v>
      </c>
      <c r="M49" s="235">
        <f>+'DONNÉES À ENTRER'!L66*'DONNÉES À ENTRER'!D127</f>
        <v>32.315168627450987</v>
      </c>
      <c r="N49" s="27"/>
      <c r="O49" s="510">
        <f>1-Tableau79569396144277[[#This Row],[Agnelles32]]</f>
        <v>1</v>
      </c>
      <c r="P49" s="31">
        <f>Tableau79569396144277[[#This Row],[Colonne4]]*Tableau79569396144277[[#This Row],[Agnelles32]]</f>
        <v>0</v>
      </c>
    </row>
    <row r="50" spans="1:246" x14ac:dyDescent="0.25">
      <c r="A50" s="152" t="s">
        <v>99</v>
      </c>
      <c r="B50" s="150" t="s">
        <v>114</v>
      </c>
      <c r="C50" s="61"/>
      <c r="D50" s="117"/>
      <c r="E50" s="90"/>
      <c r="F50" s="91"/>
      <c r="G50" s="26"/>
      <c r="H50" s="49"/>
      <c r="I50" s="50">
        <f>Tableau79569396144277[[#This Row],[Colonne4]]*Tableau79569396144277[[#This Row],[Agnelles32]]</f>
        <v>0</v>
      </c>
      <c r="J50" s="168"/>
      <c r="K50" s="229"/>
      <c r="L50" s="90"/>
      <c r="M50" s="91"/>
      <c r="N50" s="26"/>
      <c r="O50" s="21"/>
      <c r="P50" s="31">
        <f>Tableau79569396144277[[#This Row],[Colonne4]]*Tableau79569396144277[[#This Row],[Agnelles32]]</f>
        <v>0</v>
      </c>
      <c r="Q50" s="13"/>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row>
    <row r="51" spans="1:246" x14ac:dyDescent="0.25">
      <c r="A51" s="240"/>
      <c r="B51" s="258" t="s">
        <v>168</v>
      </c>
      <c r="C51" s="250" t="s">
        <v>6</v>
      </c>
      <c r="D51" s="233">
        <f>'DONNÉES À ENTRER'!B108*'Grille de calculs - PATERNELLE'!D45</f>
        <v>498.47183725490203</v>
      </c>
      <c r="E51" s="234"/>
      <c r="F51" s="235">
        <f>+'DONNÉES À ENTRER'!B64*'DONNÉES À ENTRER'!B108</f>
        <v>49.847183725490204</v>
      </c>
      <c r="G51" s="244">
        <v>1</v>
      </c>
      <c r="H51" s="245">
        <f>1-Tableau79569396144277[[#This Row],[Agnelles32]]</f>
        <v>0</v>
      </c>
      <c r="I51" s="246">
        <f>Tableau79569396144277[[#This Row],[Colonne4]]*Tableau79569396144277[[#This Row],[Agnelles32]]</f>
        <v>49.847183725490204</v>
      </c>
      <c r="J51" s="168"/>
      <c r="K51" s="239">
        <f>'DONNÉES À ENTRER'!D108*'Grille de calculs - PATERNELLE'!K45</f>
        <v>498.47183725490203</v>
      </c>
      <c r="L51" s="234"/>
      <c r="M51" s="235">
        <f>+'DONNÉES À ENTRER'!D64*'DONNÉES À ENTRER'!D108</f>
        <v>49.847183725490204</v>
      </c>
      <c r="N51" s="45">
        <v>1</v>
      </c>
      <c r="O51" s="510">
        <f>1-Tableau79569396144277[[#This Row],[Agnelles32]]</f>
        <v>0</v>
      </c>
      <c r="P51" s="31">
        <f>Tableau79569396144277[[#This Row],[Colonne4]]*Tableau79569396144277[[#This Row],[Agnelles32]]</f>
        <v>49.847183725490204</v>
      </c>
      <c r="Q51" s="13"/>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row>
    <row r="52" spans="1:246" s="2" customFormat="1" x14ac:dyDescent="0.25">
      <c r="A52" s="157" t="s">
        <v>100</v>
      </c>
      <c r="B52" s="150" t="s">
        <v>17</v>
      </c>
      <c r="C52" s="57"/>
      <c r="D52" s="98"/>
      <c r="E52" s="90"/>
      <c r="F52" s="91"/>
      <c r="G52" s="26"/>
      <c r="H52" s="44"/>
      <c r="I52" s="205">
        <f>Tableau79569396144277[[#This Row],[Colonne4]]*Tableau79569396144277[[#This Row],[Agnelles32]]</f>
        <v>0</v>
      </c>
      <c r="J52" s="168"/>
      <c r="K52" s="187"/>
      <c r="L52" s="90"/>
      <c r="M52" s="91"/>
      <c r="N52" s="26"/>
      <c r="O52" s="21"/>
      <c r="P52" s="31">
        <f>Tableau79569396144277[[#This Row],[Colonne4]]*Tableau79569396144277[[#This Row],[Agnelles32]]</f>
        <v>0</v>
      </c>
    </row>
    <row r="53" spans="1:246" s="2" customFormat="1" x14ac:dyDescent="0.25">
      <c r="A53" s="152"/>
      <c r="B53" s="156" t="s">
        <v>122</v>
      </c>
      <c r="C53" s="61" t="s">
        <v>6</v>
      </c>
      <c r="D53" s="89">
        <f>('DONNÉES À ENTRER'!B25/60*'DONNÉES À ENTRER'!B31)*'Grille de calculs - PATERNELLE'!D45</f>
        <v>29.6</v>
      </c>
      <c r="E53" s="90">
        <f>('DONNÉES À ENTRER'!B25/60*'DONNÉES À ENTRER'!B31)*'Grille de calculs - PATERNELLE'!E45</f>
        <v>127.28</v>
      </c>
      <c r="F53" s="91">
        <f>+('DONNÉES À ENTRER'!B25/60*'DONNÉES À ENTRER'!B31)*'Grille de calculs - PATERNELLE'!F45</f>
        <v>5.92</v>
      </c>
      <c r="G53" s="45">
        <f>IF(F45=0,0,+'DONNÉES À ENTRER'!J64/'Grille de calculs - PATERNELLE'!F45)</f>
        <v>0.5</v>
      </c>
      <c r="H53" s="204">
        <f>1-Tableau79569396144277[[#This Row],[Agnelles32]]</f>
        <v>0.5</v>
      </c>
      <c r="I53" s="205">
        <f>Tableau79569396144277[[#This Row],[Colonne4]]*Tableau79569396144277[[#This Row],[Agnelles32]]</f>
        <v>2.96</v>
      </c>
      <c r="J53" s="168"/>
      <c r="K53" s="184">
        <f>('DONNÉES À ENTRER'!D25/60*'DONNÉES À ENTRER'!D31)*'Grille de calculs - PATERNELLE'!K45</f>
        <v>29.6</v>
      </c>
      <c r="L53" s="90">
        <f>('DONNÉES À ENTRER'!D25/60*'DONNÉES À ENTRER'!D31)*'Grille de calculs - PATERNELLE'!L45</f>
        <v>127.28</v>
      </c>
      <c r="M53" s="91">
        <f>+('DONNÉES À ENTRER'!D25/60*'DONNÉES À ENTRER'!D31)*'Grille de calculs - PATERNELLE'!M45</f>
        <v>5.92</v>
      </c>
      <c r="N53" s="45">
        <f>IF(M45=0,0,+'DONNÉES À ENTRER'!L64/'Grille de calculs - PATERNELLE'!M45)</f>
        <v>0.5</v>
      </c>
      <c r="O53" s="510">
        <f>1-N53</f>
        <v>0.5</v>
      </c>
      <c r="P53" s="31">
        <f>M53*N53</f>
        <v>2.96</v>
      </c>
    </row>
    <row r="54" spans="1:246" s="2" customFormat="1" x14ac:dyDescent="0.25">
      <c r="A54" s="240"/>
      <c r="B54" s="241" t="s">
        <v>73</v>
      </c>
      <c r="C54" s="250"/>
      <c r="D54" s="233">
        <f>('DONNÉES À ENTRER'!B26/60*'DONNÉES À ENTRER'!B31)*'Grille de calculs - PATERNELLE'!D45</f>
        <v>17.760000000000002</v>
      </c>
      <c r="E54" s="234">
        <f>('DONNÉES À ENTRER'!B26/60*'DONNÉES À ENTRER'!B31)*'Grille de calculs - PATERNELLE'!E45</f>
        <v>76.368000000000009</v>
      </c>
      <c r="F54" s="235">
        <f>+('DONNÉES À ENTRER'!B26/60*'DONNÉES À ENTRER'!B31)*'Grille de calculs - PATERNELLE'!F45</f>
        <v>3.5520000000000005</v>
      </c>
      <c r="G54" s="244">
        <f>IF(F45=0,0,+'DONNÉES À ENTRER'!J64/'Grille de calculs - PATERNELLE'!F45)</f>
        <v>0.5</v>
      </c>
      <c r="H54" s="245">
        <f>1-Tableau79569396144277[[#This Row],[Agnelles32]]</f>
        <v>0.5</v>
      </c>
      <c r="I54" s="238">
        <f>Tableau79569396144277[[#This Row],[Colonne4]]*Tableau79569396144277[[#This Row],[Agnelles32]]</f>
        <v>1.7760000000000002</v>
      </c>
      <c r="J54" s="168"/>
      <c r="K54" s="239">
        <f>('DONNÉES À ENTRER'!D26/60*'DONNÉES À ENTRER'!D31)*'Grille de calculs - PATERNELLE'!K45</f>
        <v>17.760000000000002</v>
      </c>
      <c r="L54" s="234">
        <f>('DONNÉES À ENTRER'!D26/60*'DONNÉES À ENTRER'!D31)*'Grille de calculs - PATERNELLE'!L45</f>
        <v>76.368000000000009</v>
      </c>
      <c r="M54" s="235">
        <f>+('DONNÉES À ENTRER'!D26/60*'DONNÉES À ENTRER'!D31)*'Grille de calculs - PATERNELLE'!M45</f>
        <v>3.5520000000000005</v>
      </c>
      <c r="N54" s="45">
        <f>IF(M45=0,0,+'DONNÉES À ENTRER'!L64/'Grille de calculs - PATERNELLE'!M45)</f>
        <v>0.5</v>
      </c>
      <c r="O54" s="510">
        <f t="shared" ref="O54:O57" si="2">1-N54</f>
        <v>0.5</v>
      </c>
      <c r="P54" s="31">
        <f t="shared" ref="P54:P57" si="3">M54*N54</f>
        <v>1.7760000000000002</v>
      </c>
    </row>
    <row r="55" spans="1:246" s="2" customFormat="1" x14ac:dyDescent="0.25">
      <c r="A55" s="157" t="s">
        <v>111</v>
      </c>
      <c r="B55" s="150" t="s">
        <v>43</v>
      </c>
      <c r="C55" s="61"/>
      <c r="D55" s="118"/>
      <c r="E55" s="119"/>
      <c r="F55" s="120"/>
      <c r="G55" s="6"/>
      <c r="H55" s="44"/>
      <c r="I55" s="205">
        <f>Tableau79569396144277[[#This Row],[Colonne4]]*Tableau79569396144277[[#This Row],[Agnelles32]]</f>
        <v>0</v>
      </c>
      <c r="J55" s="168"/>
      <c r="K55" s="195"/>
      <c r="L55" s="119"/>
      <c r="M55" s="120"/>
      <c r="N55" s="6"/>
      <c r="O55" s="510"/>
      <c r="P55" s="31">
        <f t="shared" si="3"/>
        <v>0</v>
      </c>
    </row>
    <row r="56" spans="1:246" s="2" customFormat="1" x14ac:dyDescent="0.25">
      <c r="A56" s="157"/>
      <c r="B56" s="156" t="s">
        <v>122</v>
      </c>
      <c r="C56" s="61" t="s">
        <v>6</v>
      </c>
      <c r="D56" s="89">
        <f>'DONNÉES À ENTRER'!B37*'Grille de calculs - PATERNELLE'!D45</f>
        <v>0</v>
      </c>
      <c r="E56" s="90">
        <f>'DONNÉES À ENTRER'!B38*'Grille de calculs - PATERNELLE'!E45</f>
        <v>0</v>
      </c>
      <c r="F56" s="91">
        <f>+'DONNÉES À ENTRER'!B38*'Grille de calculs - PATERNELLE'!F45</f>
        <v>0</v>
      </c>
      <c r="G56" s="45">
        <f>IF(F45=0,0,+'DONNÉES À ENTRER'!J64/'Grille de calculs - PATERNELLE'!F45)</f>
        <v>0.5</v>
      </c>
      <c r="H56" s="204">
        <f>1-Tableau79569396144277[[#This Row],[Agnelles32]]</f>
        <v>0.5</v>
      </c>
      <c r="I56" s="205">
        <f>Tableau79569396144277[[#This Row],[Colonne4]]*Tableau79569396144277[[#This Row],[Agnelles32]]</f>
        <v>0</v>
      </c>
      <c r="J56" s="168"/>
      <c r="K56" s="184">
        <v>0</v>
      </c>
      <c r="L56" s="90">
        <v>0</v>
      </c>
      <c r="M56" s="91">
        <v>0</v>
      </c>
      <c r="N56" s="6"/>
      <c r="O56" s="510"/>
      <c r="P56" s="31"/>
    </row>
    <row r="57" spans="1:246" s="2" customFormat="1" x14ac:dyDescent="0.25">
      <c r="A57" s="157"/>
      <c r="B57" s="151" t="s">
        <v>73</v>
      </c>
      <c r="C57" s="61" t="s">
        <v>6</v>
      </c>
      <c r="D57" s="89">
        <f>'DONNÉES À ENTRER'!B33*'Grille de calculs - PATERNELLE'!D45</f>
        <v>463.40000000000003</v>
      </c>
      <c r="E57" s="90">
        <f>'DONNÉES À ENTRER'!B33*'Grille de calculs - PATERNELLE'!E45</f>
        <v>1992.6200000000001</v>
      </c>
      <c r="F57" s="91">
        <f>+'DONNÉES À ENTRER'!B33*'Grille de calculs - PATERNELLE'!F45</f>
        <v>92.68</v>
      </c>
      <c r="G57" s="45">
        <f>IF(F45=0,0,+'DONNÉES À ENTRER'!J64/'Grille de calculs - PATERNELLE'!F45)</f>
        <v>0.5</v>
      </c>
      <c r="H57" s="204">
        <f>1-Tableau79569396144277[[#This Row],[Agnelles32]]</f>
        <v>0.5</v>
      </c>
      <c r="I57" s="205">
        <f>Tableau79569396144277[[#This Row],[Colonne4]]*Tableau79569396144277[[#This Row],[Agnelles32]]</f>
        <v>46.34</v>
      </c>
      <c r="J57" s="168"/>
      <c r="K57" s="184">
        <f>'DONNÉES À ENTRER'!D33*'Grille de calculs - PATERNELLE'!K45</f>
        <v>463.40000000000003</v>
      </c>
      <c r="L57" s="90">
        <f>'DONNÉES À ENTRER'!D33*'Grille de calculs - PATERNELLE'!L45</f>
        <v>1992.6200000000001</v>
      </c>
      <c r="M57" s="91">
        <f>+'DONNÉES À ENTRER'!D33*'Grille de calculs - PATERNELLE'!M45</f>
        <v>92.68</v>
      </c>
      <c r="N57" s="45">
        <f>IF(M45=0,0,+'DONNÉES À ENTRER'!L64/'Grille de calculs - PATERNELLE'!M45)</f>
        <v>0.5</v>
      </c>
      <c r="O57" s="510">
        <f t="shared" si="2"/>
        <v>0.5</v>
      </c>
      <c r="P57" s="31">
        <f t="shared" si="3"/>
        <v>46.34</v>
      </c>
    </row>
    <row r="58" spans="1:246" s="2" customFormat="1" x14ac:dyDescent="0.25">
      <c r="A58" s="157"/>
      <c r="B58" s="148"/>
      <c r="C58" s="61"/>
      <c r="D58" s="92"/>
      <c r="E58" s="84"/>
      <c r="F58" s="85"/>
      <c r="G58" s="26"/>
      <c r="H58" s="44"/>
      <c r="I58" s="205">
        <f>Tableau79569396144277[[#This Row],[Colonne4]]*Tableau79569396144277[[#This Row],[Agnelles32]]</f>
        <v>0</v>
      </c>
      <c r="J58" s="168"/>
      <c r="K58" s="185"/>
      <c r="L58" s="84"/>
      <c r="M58" s="85"/>
      <c r="N58" s="26"/>
      <c r="O58" s="21"/>
      <c r="P58" s="31">
        <f>Tableau79569396144277[[#This Row],[Colonne4]]*Tableau79569396144277[[#This Row],[Agnelles32]]</f>
        <v>0</v>
      </c>
    </row>
    <row r="59" spans="1:246" s="2" customFormat="1" x14ac:dyDescent="0.25">
      <c r="A59" s="157"/>
      <c r="B59" s="158" t="s">
        <v>214</v>
      </c>
      <c r="C59" s="64"/>
      <c r="D59" s="121"/>
      <c r="E59" s="96"/>
      <c r="F59" s="97"/>
      <c r="G59" s="26"/>
      <c r="H59" s="44"/>
      <c r="I59" s="205">
        <f>Tableau79569396144277[[#This Row],[Colonne4]]*Tableau79569396144277[[#This Row],[Agnelles32]]</f>
        <v>0</v>
      </c>
      <c r="J59" s="168"/>
      <c r="K59" s="196"/>
      <c r="L59" s="96"/>
      <c r="M59" s="97"/>
      <c r="N59" s="26"/>
      <c r="O59" s="21"/>
      <c r="P59" s="31">
        <f>Tableau79569396144277[[#This Row],[Colonne4]]*Tableau79569396144277[[#This Row],[Agnelles32]]</f>
        <v>0</v>
      </c>
    </row>
    <row r="60" spans="1:246" s="2" customFormat="1" x14ac:dyDescent="0.25">
      <c r="A60" s="157"/>
      <c r="B60" s="148"/>
      <c r="C60" s="61"/>
      <c r="D60" s="122"/>
      <c r="E60" s="84"/>
      <c r="F60" s="85"/>
      <c r="G60" s="40"/>
      <c r="H60" s="44"/>
      <c r="I60" s="205">
        <f>Tableau79569396144277[[#This Row],[Colonne4]]*Tableau79569396144277[[#This Row],[Agnelles32]]</f>
        <v>0</v>
      </c>
      <c r="J60" s="168"/>
      <c r="K60" s="194"/>
      <c r="L60" s="84"/>
      <c r="M60" s="85"/>
      <c r="N60" s="40"/>
      <c r="O60" s="21"/>
      <c r="P60" s="31">
        <f>Tableau79569396144277[[#This Row],[Colonne4]]*Tableau79569396144277[[#This Row],[Agnelles32]]</f>
        <v>0</v>
      </c>
    </row>
    <row r="61" spans="1:246" s="2" customFormat="1" x14ac:dyDescent="0.25">
      <c r="A61" s="164" t="s">
        <v>220</v>
      </c>
      <c r="B61" s="150" t="s">
        <v>7</v>
      </c>
      <c r="C61" s="61"/>
      <c r="D61" s="122"/>
      <c r="E61" s="84"/>
      <c r="F61" s="85"/>
      <c r="G61" s="40"/>
      <c r="H61" s="44"/>
      <c r="I61" s="417">
        <f>Tableau79569396144277[[#This Row],[Colonne4]]*Tableau79569396144277[[#This Row],[Agnelles32]]</f>
        <v>0</v>
      </c>
      <c r="J61" s="167"/>
      <c r="K61" s="194"/>
      <c r="L61" s="84"/>
      <c r="M61" s="85"/>
      <c r="N61" s="40"/>
      <c r="O61" s="21"/>
      <c r="P61" s="31"/>
    </row>
    <row r="62" spans="1:246" s="2" customFormat="1" x14ac:dyDescent="0.25">
      <c r="A62" s="164"/>
      <c r="B62" s="160" t="s">
        <v>216</v>
      </c>
      <c r="C62" s="63" t="s">
        <v>118</v>
      </c>
      <c r="D62" s="105"/>
      <c r="E62" s="112"/>
      <c r="F62" s="139">
        <f>IF(ISBLANK('DONNÉES À ENTRER'!J64),('DONNÉES À ENTRER'!B5*'DONNÉES À ENTRER'!B6/2*'DONNÉES À ENTRER'!J65),'DONNÉES À ENTRER'!J64)+(IF(ISBLANK('DONNÉES À ENTRER'!J66),('DONNÉES À ENTRER'!B5*'DONNÉES À ENTRER'!B6/2*'DONNÉES À ENTRER'!J67),'DONNÉES À ENTRER'!J66))</f>
        <v>2</v>
      </c>
      <c r="G62" s="27"/>
      <c r="H62" s="44"/>
      <c r="I62" s="205">
        <f>Tableau79569396144277[[#This Row],[Colonne4]]*Tableau79569396144277[[#This Row],[Agnelles32]]</f>
        <v>0</v>
      </c>
      <c r="J62" s="168"/>
      <c r="K62" s="190"/>
      <c r="L62" s="112"/>
      <c r="M62" s="139">
        <f>IF(ISBLANK('DONNÉES À ENTRER'!L64),('DONNÉES À ENTRER'!D5*'DONNÉES À ENTRER'!D6/2*'DONNÉES À ENTRER'!L65),'DONNÉES À ENTRER'!L64)+(IF(ISBLANK('DONNÉES À ENTRER'!L66),('DONNÉES À ENTRER'!D5*'DONNÉES À ENTRER'!D6/2*'DONNÉES À ENTRER'!L67),'DONNÉES À ENTRER'!L66))</f>
        <v>2</v>
      </c>
      <c r="N62" s="27"/>
      <c r="O62" s="21"/>
      <c r="P62" s="31">
        <f>Tableau79569396144277[[#This Row],[Colonne4]]*Tableau79569396144277[[#This Row],[Agnelles32]]</f>
        <v>0</v>
      </c>
    </row>
    <row r="63" spans="1:246" s="2" customFormat="1" x14ac:dyDescent="0.25">
      <c r="A63" s="157"/>
      <c r="B63" s="151" t="s">
        <v>183</v>
      </c>
      <c r="C63" s="61" t="s">
        <v>6</v>
      </c>
      <c r="D63" s="124"/>
      <c r="E63" s="125"/>
      <c r="F63" s="126">
        <f>('DONNÉES À ENTRER'!J64*'DONNÉES À ENTRER'!B138)+('DONNÉES À ENTRER'!J66*'DONNÉES À ENTRER'!B139)</f>
        <v>122.25206000000001</v>
      </c>
      <c r="G63" s="45">
        <f>IF(F45=0,0,+'DONNÉES À ENTRER'!J64/'Grille de calculs - PATERNELLE'!F45)</f>
        <v>0.5</v>
      </c>
      <c r="H63" s="204">
        <f>1-Tableau79569396144277[[#This Row],[Agnelles32]]</f>
        <v>0.5</v>
      </c>
      <c r="I63" s="205">
        <f>Tableau79569396144277[[#This Row],[Colonne4]]*Tableau79569396144277[[#This Row],[Agnelles32]]</f>
        <v>61.126030000000007</v>
      </c>
      <c r="J63" s="168"/>
      <c r="K63" s="197"/>
      <c r="L63" s="125"/>
      <c r="M63" s="126">
        <f>('DONNÉES À ENTRER'!L64*'DONNÉES À ENTRER'!D138)+('DONNÉES À ENTRER'!L66*'DONNÉES À ENTRER'!D139)</f>
        <v>122.25206000000001</v>
      </c>
      <c r="N63" s="45">
        <f>IF(M45=0,0,+'DONNÉES À ENTRER'!L64/'Grille de calculs - PATERNELLE'!M45)</f>
        <v>0.5</v>
      </c>
      <c r="O63" s="510">
        <f>1-N63</f>
        <v>0.5</v>
      </c>
      <c r="P63" s="31">
        <f>M63*N63</f>
        <v>61.126030000000007</v>
      </c>
    </row>
    <row r="64" spans="1:246" s="2" customFormat="1" ht="9" customHeight="1" x14ac:dyDescent="0.25">
      <c r="A64" s="157"/>
      <c r="B64" s="148"/>
      <c r="C64" s="57"/>
      <c r="D64" s="92"/>
      <c r="E64" s="84"/>
      <c r="F64" s="85"/>
      <c r="G64" s="26"/>
      <c r="H64" s="44"/>
      <c r="I64" s="205">
        <f>Tableau79569396144277[[#This Row],[Colonne4]]*Tableau79569396144277[[#This Row],[Agnelles32]]</f>
        <v>0</v>
      </c>
      <c r="J64" s="168"/>
      <c r="K64" s="185"/>
      <c r="L64" s="84"/>
      <c r="M64" s="85"/>
      <c r="N64" s="26"/>
      <c r="O64" s="21"/>
      <c r="P64" s="31">
        <f>Tableau79569396144277[[#This Row],[Colonne4]]*Tableau79569396144277[[#This Row],[Agnelles32]]</f>
        <v>0</v>
      </c>
    </row>
    <row r="65" spans="1:246" s="4" customFormat="1" ht="21" customHeight="1" x14ac:dyDescent="0.25">
      <c r="A65" s="165" t="s">
        <v>91</v>
      </c>
      <c r="B65" s="146"/>
      <c r="C65" s="66"/>
      <c r="D65" s="127"/>
      <c r="E65" s="103"/>
      <c r="F65" s="104"/>
      <c r="G65" s="38"/>
      <c r="H65" s="49"/>
      <c r="I65" s="50">
        <f>Tableau79569396144277[[#This Row],[Colonne4]]*Tableau79569396144277[[#This Row],[Agnelles32]]</f>
        <v>0</v>
      </c>
      <c r="J65" s="168"/>
      <c r="K65" s="198"/>
      <c r="L65" s="103"/>
      <c r="M65" s="104"/>
      <c r="N65" s="38"/>
      <c r="O65" s="44"/>
      <c r="P65" s="205">
        <f>Tableau79569396144277[[#This Row],[Colonne4]]*Tableau79569396144277[[#This Row],[Agnelles32]]</f>
        <v>0</v>
      </c>
      <c r="Q65" s="6"/>
    </row>
    <row r="66" spans="1:246" s="2" customFormat="1" x14ac:dyDescent="0.25">
      <c r="A66" s="253"/>
      <c r="B66" s="149" t="s">
        <v>212</v>
      </c>
      <c r="C66" s="54" t="s">
        <v>118</v>
      </c>
      <c r="D66" s="123">
        <f>+D45</f>
        <v>10</v>
      </c>
      <c r="E66" s="141">
        <f>+E45</f>
        <v>43</v>
      </c>
      <c r="F66" s="142"/>
      <c r="G66" s="39"/>
      <c r="H66" s="44"/>
      <c r="I66" s="205">
        <f>Tableau79569396144277[[#This Row],[Colonne4]]*Tableau79569396144277[[#This Row],[Agnelles32]]</f>
        <v>0</v>
      </c>
      <c r="J66" s="168"/>
      <c r="K66" s="206">
        <f>+K45</f>
        <v>10</v>
      </c>
      <c r="L66" s="141">
        <f>+L45</f>
        <v>43</v>
      </c>
      <c r="M66" s="142"/>
      <c r="N66" s="39"/>
      <c r="O66" s="21"/>
      <c r="P66" s="31">
        <f>Tableau79569396144277[[#This Row],[Colonne4]]*Tableau79569396144277[[#This Row],[Agnelles32]]</f>
        <v>0</v>
      </c>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row>
    <row r="67" spans="1:246" x14ac:dyDescent="0.25">
      <c r="A67" s="152" t="s">
        <v>112</v>
      </c>
      <c r="B67" s="150" t="s">
        <v>17</v>
      </c>
      <c r="C67" s="61"/>
      <c r="D67" s="83"/>
      <c r="E67" s="84"/>
      <c r="F67" s="85"/>
      <c r="G67" s="40"/>
      <c r="H67" s="49"/>
      <c r="I67" s="50">
        <f>Tableau79569396144277[[#This Row],[Colonne4]]*Tableau79569396144277[[#This Row],[Agnelles32]]</f>
        <v>0</v>
      </c>
      <c r="J67" s="168"/>
      <c r="K67" s="184"/>
      <c r="L67" s="90"/>
      <c r="M67" s="91"/>
      <c r="N67" s="40"/>
      <c r="O67" s="21"/>
      <c r="P67" s="31">
        <f>Tableau79569396144277[[#This Row],[Colonne4]]*Tableau79569396144277[[#This Row],[Agnelles32]]</f>
        <v>0</v>
      </c>
      <c r="Q67" s="13"/>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row>
    <row r="68" spans="1:246" x14ac:dyDescent="0.25">
      <c r="A68" s="152"/>
      <c r="B68" s="153" t="s">
        <v>154</v>
      </c>
      <c r="C68" s="61" t="s">
        <v>6</v>
      </c>
      <c r="D68" s="89">
        <f>('DONNÉES À ENTRER'!B28/60*'DONNÉES À ENTRER'!B31)*'Grille de calculs - PATERNELLE'!D66</f>
        <v>59.2</v>
      </c>
      <c r="E68" s="90" t="s">
        <v>147</v>
      </c>
      <c r="F68" s="85"/>
      <c r="G68" s="26"/>
      <c r="H68" s="49"/>
      <c r="I68" s="50">
        <f>Tableau79569396144277[[#This Row],[Colonne4]]*Tableau79569396144277[[#This Row],[Agnelles32]]</f>
        <v>0</v>
      </c>
      <c r="J68" s="168"/>
      <c r="K68" s="184">
        <f>('DONNÉES À ENTRER'!D28/60*'DONNÉES À ENTRER'!D31)*'Grille de calculs - PATERNELLE'!K66</f>
        <v>59.2</v>
      </c>
      <c r="L68" s="90" t="s">
        <v>147</v>
      </c>
      <c r="M68" s="91"/>
      <c r="N68" s="26"/>
      <c r="O68" s="21"/>
      <c r="P68" s="31">
        <f>Tableau79569396144277[[#This Row],[Colonne4]]*Tableau79569396144277[[#This Row],[Agnelles32]]</f>
        <v>0</v>
      </c>
      <c r="Q68" s="13"/>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row>
    <row r="69" spans="1:246" ht="30" x14ac:dyDescent="0.25">
      <c r="A69" s="152"/>
      <c r="B69" s="166" t="s">
        <v>152</v>
      </c>
      <c r="C69" s="61" t="s">
        <v>6</v>
      </c>
      <c r="D69" s="89">
        <f>('DONNÉES À ENTRER'!B29/60*'DONNÉES À ENTRER'!B31)*'Grille de calculs - PATERNELLE'!D66</f>
        <v>266.39999999999998</v>
      </c>
      <c r="E69" s="90">
        <f>(('DONNÉES À ENTRER'!B29/60*'DONNÉES À ENTRER'!B31))</f>
        <v>26.64</v>
      </c>
      <c r="F69" s="85"/>
      <c r="G69" s="26"/>
      <c r="H69" s="49"/>
      <c r="I69" s="50">
        <f>Tableau79569396144277[[#This Row],[Colonne4]]*Tableau79569396144277[[#This Row],[Agnelles32]]</f>
        <v>0</v>
      </c>
      <c r="J69" s="168"/>
      <c r="K69" s="184">
        <f>('DONNÉES À ENTRER'!D29/60*'DONNÉES À ENTRER'!D31)*'Grille de calculs - PATERNELLE'!K66</f>
        <v>266.39999999999998</v>
      </c>
      <c r="L69" s="90">
        <f>(('DONNÉES À ENTRER'!D29/60*'DONNÉES À ENTRER'!D31))</f>
        <v>26.64</v>
      </c>
      <c r="M69" s="91"/>
      <c r="N69" s="26"/>
      <c r="O69" s="21"/>
      <c r="P69" s="31">
        <f>Tableau79569396144277[[#This Row],[Colonne4]]*Tableau79569396144277[[#This Row],[Agnelles32]]</f>
        <v>0</v>
      </c>
      <c r="Q69" s="13"/>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row>
    <row r="70" spans="1:246" x14ac:dyDescent="0.25">
      <c r="A70" s="418"/>
      <c r="B70" s="258" t="s">
        <v>126</v>
      </c>
      <c r="C70" s="250" t="s">
        <v>6</v>
      </c>
      <c r="D70" s="233">
        <f>('DONNÉES À ENTRER'!B30/60*'DONNÉES À ENTRER'!B31)*'Grille de calculs - PATERNELLE'!D66</f>
        <v>59.2</v>
      </c>
      <c r="E70" s="234">
        <f>('DONNÉES À ENTRER'!B30/60*'DONNÉES À ENTRER'!B31)</f>
        <v>5.92</v>
      </c>
      <c r="F70" s="259"/>
      <c r="G70" s="236"/>
      <c r="H70" s="251"/>
      <c r="I70" s="246">
        <f>Tableau79569396144277[[#This Row],[Colonne4]]*Tableau79569396144277[[#This Row],[Agnelles32]]</f>
        <v>0</v>
      </c>
      <c r="J70" s="168"/>
      <c r="K70" s="239">
        <f>('DONNÉES À ENTRER'!D30/60*'DONNÉES À ENTRER'!D31)*'Grille de calculs - PATERNELLE'!K66</f>
        <v>59.2</v>
      </c>
      <c r="L70" s="234">
        <f>('DONNÉES À ENTRER'!D30/60*'DONNÉES À ENTRER'!D31)</f>
        <v>5.92</v>
      </c>
      <c r="M70" s="235"/>
      <c r="N70" s="26"/>
      <c r="O70" s="21"/>
      <c r="P70" s="31">
        <f>Tableau79569396144277[[#This Row],[Colonne4]]*Tableau79569396144277[[#This Row],[Agnelles32]]</f>
        <v>0</v>
      </c>
      <c r="Q70" s="13"/>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row>
    <row r="71" spans="1:246" x14ac:dyDescent="0.25">
      <c r="A71" s="152" t="s">
        <v>113</v>
      </c>
      <c r="B71" s="150" t="s">
        <v>43</v>
      </c>
      <c r="C71" s="61"/>
      <c r="D71" s="89"/>
      <c r="E71" s="90"/>
      <c r="F71" s="85"/>
      <c r="G71" s="26"/>
      <c r="H71" s="49"/>
      <c r="I71" s="50">
        <f>Tableau79569396144277[[#This Row],[Colonne4]]*Tableau79569396144277[[#This Row],[Agnelles32]]</f>
        <v>0</v>
      </c>
      <c r="J71" s="168"/>
      <c r="K71" s="184"/>
      <c r="L71" s="90"/>
      <c r="M71" s="91"/>
      <c r="N71" s="26"/>
      <c r="O71" s="21"/>
      <c r="P71" s="31">
        <f>Tableau79569396144277[[#This Row],[Colonne4]]*Tableau79569396144277[[#This Row],[Agnelles32]]</f>
        <v>0</v>
      </c>
      <c r="Q71" s="13"/>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row>
    <row r="72" spans="1:246" x14ac:dyDescent="0.25">
      <c r="A72" s="152"/>
      <c r="B72" s="153" t="s">
        <v>154</v>
      </c>
      <c r="C72" s="61" t="s">
        <v>6</v>
      </c>
      <c r="D72" s="89">
        <f>'DONNÉES À ENTRER'!B35*'Grille de calculs - PATERNELLE'!D66</f>
        <v>250</v>
      </c>
      <c r="E72" s="90">
        <v>0</v>
      </c>
      <c r="F72" s="85"/>
      <c r="G72" s="26"/>
      <c r="H72" s="49"/>
      <c r="I72" s="50">
        <f>Tableau79569396144277[[#This Row],[Colonne4]]*Tableau79569396144277[[#This Row],[Agnelles32]]</f>
        <v>0</v>
      </c>
      <c r="J72" s="168"/>
      <c r="K72" s="184">
        <f>'DONNÉES À ENTRER'!D35*'Grille de calculs - PATERNELLE'!K66</f>
        <v>250</v>
      </c>
      <c r="L72" s="90">
        <v>0</v>
      </c>
      <c r="M72" s="91"/>
      <c r="N72" s="26"/>
      <c r="O72" s="21"/>
      <c r="P72" s="31">
        <f>Tableau79569396144277[[#This Row],[Colonne4]]*Tableau79569396144277[[#This Row],[Agnelles32]]</f>
        <v>0</v>
      </c>
      <c r="Q72" s="13"/>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row>
    <row r="73" spans="1:246" x14ac:dyDescent="0.25">
      <c r="A73" s="152"/>
      <c r="B73" s="153" t="s">
        <v>82</v>
      </c>
      <c r="C73" s="61" t="s">
        <v>6</v>
      </c>
      <c r="D73" s="89">
        <f>'DONNÉES À ENTRER'!B36*'Grille de calculs - PATERNELLE'!D66</f>
        <v>120</v>
      </c>
      <c r="E73" s="90">
        <f>'DONNÉES À ENTRER'!B36*'Grille de calculs - PATERNELLE'!E66</f>
        <v>516</v>
      </c>
      <c r="F73" s="85"/>
      <c r="G73" s="26"/>
      <c r="H73" s="49"/>
      <c r="I73" s="50">
        <f>Tableau79569396144277[[#This Row],[Colonne4]]*Tableau79569396144277[[#This Row],[Agnelles32]]</f>
        <v>0</v>
      </c>
      <c r="J73" s="168"/>
      <c r="K73" s="184">
        <f>'DONNÉES À ENTRER'!D36*'Grille de calculs - PATERNELLE'!K66</f>
        <v>120</v>
      </c>
      <c r="L73" s="90">
        <f>'DONNÉES À ENTRER'!D36*'Grille de calculs - PATERNELLE'!L66</f>
        <v>516</v>
      </c>
      <c r="M73" s="91"/>
      <c r="N73" s="26"/>
      <c r="O73" s="21"/>
      <c r="P73" s="31">
        <f>Tableau79569396144277[[#This Row],[Colonne4]]*Tableau79569396144277[[#This Row],[Agnelles32]]</f>
        <v>0</v>
      </c>
      <c r="Q73" s="13"/>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row>
    <row r="74" spans="1:246" x14ac:dyDescent="0.25">
      <c r="A74" s="152"/>
      <c r="B74" s="156" t="s">
        <v>83</v>
      </c>
      <c r="C74" s="61" t="s">
        <v>6</v>
      </c>
      <c r="D74" s="89">
        <f>'DONNÉES À ENTRER'!B39*'Grille de calculs - PATERNELLE'!D66</f>
        <v>120</v>
      </c>
      <c r="E74" s="90">
        <f>'DONNÉES À ENTRER'!B39*'Grille de calculs - PATERNELLE'!E66</f>
        <v>516</v>
      </c>
      <c r="F74" s="85"/>
      <c r="G74" s="26"/>
      <c r="H74" s="49"/>
      <c r="I74" s="50">
        <f>Tableau79569396144277[[#This Row],[Colonne4]]*Tableau79569396144277[[#This Row],[Agnelles32]]</f>
        <v>0</v>
      </c>
      <c r="J74" s="168"/>
      <c r="K74" s="184">
        <f>'DONNÉES À ENTRER'!D39*'Grille de calculs - PATERNELLE'!K66</f>
        <v>120</v>
      </c>
      <c r="L74" s="90">
        <f>'DONNÉES À ENTRER'!D39*'Grille de calculs - PATERNELLE'!L66</f>
        <v>516</v>
      </c>
      <c r="M74" s="91"/>
      <c r="N74" s="26"/>
      <c r="O74" s="21"/>
      <c r="P74" s="31">
        <f>Tableau79569396144277[[#This Row],[Colonne4]]*Tableau79569396144277[[#This Row],[Agnelles32]]</f>
        <v>0</v>
      </c>
      <c r="Q74" s="13"/>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row>
    <row r="75" spans="1:246" x14ac:dyDescent="0.25">
      <c r="A75" s="152"/>
      <c r="B75" s="156" t="s">
        <v>225</v>
      </c>
      <c r="C75" s="61" t="s">
        <v>6</v>
      </c>
      <c r="D75" s="89">
        <f>+'DONNÉES À ENTRER'!B40/2</f>
        <v>250</v>
      </c>
      <c r="E75" s="90">
        <f>+'DONNÉES À ENTRER'!B40/2</f>
        <v>250</v>
      </c>
      <c r="F75" s="85"/>
      <c r="G75" s="26"/>
      <c r="H75" s="49"/>
      <c r="I75" s="50">
        <f>Tableau79569396144277[[#This Row],[Colonne4]]*Tableau79569396144277[[#This Row],[Agnelles32]]</f>
        <v>0</v>
      </c>
      <c r="J75" s="168"/>
      <c r="K75" s="184">
        <f>+'DONNÉES À ENTRER'!D40/2</f>
        <v>250</v>
      </c>
      <c r="L75" s="90">
        <f>+'DONNÉES À ENTRER'!D40/2</f>
        <v>250</v>
      </c>
      <c r="M75" s="91"/>
      <c r="N75" s="26"/>
      <c r="O75" s="21"/>
      <c r="P75" s="31">
        <f>Tableau79569396144277[[#This Row],[Colonne4]]*Tableau79569396144277[[#This Row],[Agnelles32]]</f>
        <v>0</v>
      </c>
      <c r="Q75" s="13"/>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row>
    <row r="76" spans="1:246" x14ac:dyDescent="0.25">
      <c r="A76" s="240"/>
      <c r="B76" s="258" t="s">
        <v>218</v>
      </c>
      <c r="C76" s="250" t="s">
        <v>6</v>
      </c>
      <c r="D76" s="233">
        <f>+D45*290*'DONNÉES À ENTRER'!B41</f>
        <v>522</v>
      </c>
      <c r="E76" s="234">
        <f>+E45*168*'DONNÉES À ENTRER'!B41</f>
        <v>1300.32</v>
      </c>
      <c r="F76" s="235">
        <f>('DONNÉES À ENTRER'!J64*(7*30.5)*0.18)+('DONNÉES À ENTRER'!J66*(4*30.5)*0.18)</f>
        <v>60.39</v>
      </c>
      <c r="G76" s="244">
        <f>G63</f>
        <v>0.5</v>
      </c>
      <c r="H76" s="245">
        <f>1-Tableau79569396144277[[#This Row],[Agnelles32]]</f>
        <v>0.5</v>
      </c>
      <c r="I76" s="246">
        <f>Tableau79569396144277[[#This Row],[Colonne4]]*Tableau79569396144277[[#This Row],[Agnelles32]]</f>
        <v>30.195</v>
      </c>
      <c r="J76" s="168"/>
      <c r="K76" s="239">
        <f>+K45*290*'DONNÉES À ENTRER'!D41</f>
        <v>522</v>
      </c>
      <c r="L76" s="234">
        <f>+L45*168*'DONNÉES À ENTRER'!D41</f>
        <v>1300.32</v>
      </c>
      <c r="M76" s="235">
        <f>('DONNÉES À ENTRER'!L64*(7*30.5)*0.18)+('DONNÉES À ENTRER'!L66*(4*30.5)*0.18)</f>
        <v>60.39</v>
      </c>
      <c r="N76" s="45">
        <f>N63</f>
        <v>0.5</v>
      </c>
      <c r="O76" s="510">
        <f>1-N76</f>
        <v>0.5</v>
      </c>
      <c r="P76" s="31">
        <f>M76*N76</f>
        <v>30.195</v>
      </c>
      <c r="Q76" s="13"/>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row>
    <row r="77" spans="1:246" x14ac:dyDescent="0.25">
      <c r="A77" s="419" t="s">
        <v>219</v>
      </c>
      <c r="B77" s="260" t="s">
        <v>9</v>
      </c>
      <c r="C77" s="261"/>
      <c r="D77" s="262">
        <f>('DONNÉES À ENTRER'!B5*'DONNÉES À ENTRER'!B54)/(D45+E45+F45)*D45</f>
        <v>250.59294449454529</v>
      </c>
      <c r="E77" s="263">
        <f>('DONNÉES À ENTRER'!B5*'DONNÉES À ENTRER'!B54)/(D45+E45+F45)*E45</f>
        <v>1077.5496613265448</v>
      </c>
      <c r="F77" s="264">
        <f>('DONNÉES À ENTRER'!B5*'DONNÉES À ENTRER'!B54)/(D45+E45+F45)*F45</f>
        <v>50.11858889890906</v>
      </c>
      <c r="G77" s="265">
        <f>+G76</f>
        <v>0.5</v>
      </c>
      <c r="H77" s="266">
        <f>1-Tableau79569396144277[[#This Row],[Agnelles32]]</f>
        <v>0.5</v>
      </c>
      <c r="I77" s="267">
        <f>Tableau79569396144277[[#This Row],[Colonne4]]*Tableau79569396144277[[#This Row],[Agnelles32]]</f>
        <v>25.05929444945453</v>
      </c>
      <c r="J77" s="168"/>
      <c r="K77" s="268">
        <f>('DONNÉES À ENTRER'!D5*'DONNÉES À ENTRER'!D54)/(K45+L45+M45)*K45</f>
        <v>250.59294449454529</v>
      </c>
      <c r="L77" s="263">
        <f>('DONNÉES À ENTRER'!D5*'DONNÉES À ENTRER'!D54)/(K45+L45+M45)*L45</f>
        <v>1077.5496613265448</v>
      </c>
      <c r="M77" s="264">
        <f>('DONNÉES À ENTRER'!D5*'DONNÉES À ENTRER'!D54)/(K45+L45+M45)*M45</f>
        <v>50.11858889890906</v>
      </c>
      <c r="N77" s="45">
        <f>+N76</f>
        <v>0.5</v>
      </c>
      <c r="O77" s="510">
        <f>1-N77</f>
        <v>0.5</v>
      </c>
      <c r="P77" s="31">
        <f>M77*N77</f>
        <v>25.05929444945453</v>
      </c>
      <c r="Q77" s="13"/>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row>
    <row r="78" spans="1:246" ht="10.5" customHeight="1" x14ac:dyDescent="0.25">
      <c r="A78" s="152"/>
      <c r="B78" s="148"/>
      <c r="C78" s="61"/>
      <c r="D78" s="89"/>
      <c r="E78" s="90"/>
      <c r="F78" s="91"/>
      <c r="G78" s="45"/>
      <c r="H78" s="204"/>
      <c r="I78" s="51">
        <f>Tableau79569396144277[[#This Row],[Colonne4]]*Tableau79569396144277[[#This Row],[Agnelles32]]</f>
        <v>0</v>
      </c>
      <c r="J78" s="168"/>
      <c r="K78" s="184"/>
      <c r="L78" s="90"/>
      <c r="M78" s="91"/>
      <c r="N78" s="45"/>
      <c r="O78" s="510"/>
      <c r="P78" s="31"/>
      <c r="Q78" s="13"/>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row>
    <row r="79" spans="1:246" s="4" customFormat="1" ht="9" customHeight="1" x14ac:dyDescent="0.25">
      <c r="A79" s="420"/>
      <c r="B79" s="175"/>
      <c r="C79" s="176"/>
      <c r="D79" s="128"/>
      <c r="E79" s="129"/>
      <c r="F79" s="130"/>
      <c r="G79" s="41"/>
      <c r="H79" s="50"/>
      <c r="I79" s="50">
        <f>Tableau79569396144277[[#This Row],[Colonne4]]*Tableau79569396144277[[#This Row],[Agnelles32]]</f>
        <v>0</v>
      </c>
      <c r="J79" s="168"/>
      <c r="K79" s="199"/>
      <c r="L79" s="129"/>
      <c r="M79" s="130"/>
      <c r="N79" s="41"/>
      <c r="O79" s="205"/>
      <c r="P79" s="205">
        <f>Tableau79569396144277[[#This Row],[Colonne4]]*Tableau79569396144277[[#This Row],[Agnelles32]]</f>
        <v>0</v>
      </c>
      <c r="Q79" s="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7"/>
      <c r="BP79" s="177"/>
      <c r="BQ79" s="177"/>
      <c r="BR79" s="177"/>
      <c r="BS79" s="177"/>
      <c r="BT79" s="177"/>
      <c r="BU79" s="177"/>
      <c r="BV79" s="177"/>
      <c r="BW79" s="177"/>
      <c r="BX79" s="177"/>
      <c r="BY79" s="177"/>
      <c r="BZ79" s="177"/>
      <c r="CA79" s="177"/>
      <c r="CB79" s="177"/>
      <c r="CC79" s="177"/>
      <c r="CD79" s="177"/>
      <c r="CE79" s="177"/>
      <c r="CF79" s="177"/>
      <c r="CG79" s="177"/>
      <c r="CH79" s="177"/>
      <c r="CI79" s="177"/>
      <c r="CJ79" s="177"/>
      <c r="CK79" s="177"/>
      <c r="CL79" s="177"/>
      <c r="CM79" s="177"/>
      <c r="CN79" s="177"/>
      <c r="CO79" s="177"/>
      <c r="CP79" s="177"/>
      <c r="CQ79" s="177"/>
      <c r="CR79" s="177"/>
      <c r="CS79" s="177"/>
      <c r="CT79" s="177"/>
      <c r="CU79" s="177"/>
      <c r="CV79" s="177"/>
      <c r="CW79" s="177"/>
      <c r="CX79" s="177"/>
      <c r="CY79" s="177"/>
      <c r="CZ79" s="177"/>
      <c r="DA79" s="177"/>
      <c r="DB79" s="177"/>
      <c r="DC79" s="177"/>
      <c r="DD79" s="177"/>
      <c r="DE79" s="177"/>
      <c r="DF79" s="177"/>
      <c r="DG79" s="177"/>
      <c r="DH79" s="177"/>
      <c r="DI79" s="177"/>
      <c r="DJ79" s="177"/>
      <c r="DK79" s="177"/>
      <c r="DL79" s="177"/>
      <c r="DM79" s="177"/>
      <c r="DN79" s="177"/>
      <c r="DO79" s="177"/>
      <c r="DP79" s="177"/>
      <c r="DQ79" s="177"/>
      <c r="DR79" s="177"/>
      <c r="DS79" s="177"/>
      <c r="DT79" s="177"/>
      <c r="DU79" s="177"/>
      <c r="DV79" s="177"/>
      <c r="DW79" s="177"/>
      <c r="DX79" s="177"/>
      <c r="DY79" s="177"/>
      <c r="DZ79" s="177"/>
      <c r="EA79" s="177"/>
      <c r="EB79" s="177"/>
      <c r="EC79" s="177"/>
      <c r="ED79" s="177"/>
      <c r="EE79" s="177"/>
      <c r="EF79" s="177"/>
      <c r="EG79" s="177"/>
      <c r="EH79" s="177"/>
      <c r="EI79" s="177"/>
      <c r="EJ79" s="177"/>
      <c r="EK79" s="177"/>
      <c r="EL79" s="177"/>
      <c r="EM79" s="177"/>
      <c r="EN79" s="177"/>
      <c r="EO79" s="177"/>
      <c r="EP79" s="177"/>
      <c r="EQ79" s="177"/>
      <c r="ER79" s="177"/>
      <c r="ES79" s="177"/>
      <c r="ET79" s="177"/>
      <c r="EU79" s="177"/>
      <c r="EV79" s="177"/>
      <c r="EW79" s="177"/>
      <c r="EX79" s="177"/>
      <c r="EY79" s="177"/>
      <c r="EZ79" s="177"/>
      <c r="FA79" s="177"/>
      <c r="FB79" s="177"/>
      <c r="FC79" s="177"/>
      <c r="FD79" s="177"/>
      <c r="FE79" s="177"/>
      <c r="FF79" s="177"/>
      <c r="FG79" s="177"/>
      <c r="FH79" s="177"/>
      <c r="FI79" s="177"/>
      <c r="FJ79" s="177"/>
      <c r="FK79" s="177"/>
      <c r="FL79" s="177"/>
      <c r="FM79" s="177"/>
      <c r="FN79" s="177"/>
      <c r="FO79" s="177"/>
      <c r="FP79" s="177"/>
      <c r="FQ79" s="177"/>
      <c r="FR79" s="177"/>
      <c r="FS79" s="177"/>
      <c r="FT79" s="177"/>
      <c r="FU79" s="177"/>
      <c r="FV79" s="177"/>
      <c r="FW79" s="177"/>
      <c r="FX79" s="177"/>
      <c r="FY79" s="177"/>
      <c r="FZ79" s="177"/>
      <c r="GA79" s="177"/>
      <c r="GB79" s="177"/>
      <c r="GC79" s="177"/>
      <c r="GD79" s="177"/>
      <c r="GE79" s="177"/>
      <c r="GF79" s="177"/>
      <c r="GG79" s="177"/>
      <c r="GH79" s="177"/>
      <c r="GI79" s="177"/>
      <c r="GJ79" s="177"/>
      <c r="GK79" s="177"/>
      <c r="GL79" s="177"/>
      <c r="GM79" s="177"/>
      <c r="GN79" s="177"/>
      <c r="GO79" s="177"/>
      <c r="GP79" s="177"/>
      <c r="GQ79" s="177"/>
      <c r="GR79" s="177"/>
      <c r="GS79" s="177"/>
      <c r="GT79" s="177"/>
      <c r="GU79" s="177"/>
      <c r="GV79" s="177"/>
      <c r="GW79" s="177"/>
      <c r="GX79" s="177"/>
      <c r="GY79" s="177"/>
      <c r="GZ79" s="177"/>
      <c r="HA79" s="177"/>
      <c r="HB79" s="177"/>
      <c r="HC79" s="177"/>
      <c r="HD79" s="177"/>
      <c r="HE79" s="177"/>
      <c r="HF79" s="177"/>
      <c r="HG79" s="177"/>
      <c r="HH79" s="177"/>
      <c r="HI79" s="177"/>
      <c r="HJ79" s="177"/>
      <c r="HK79" s="177"/>
      <c r="HL79" s="177"/>
      <c r="HM79" s="177"/>
      <c r="HN79" s="177"/>
      <c r="HO79" s="177"/>
      <c r="HP79" s="177"/>
      <c r="HQ79" s="177"/>
      <c r="HR79" s="177"/>
      <c r="HS79" s="177"/>
      <c r="HT79" s="177"/>
      <c r="HU79" s="177"/>
      <c r="HV79" s="177"/>
      <c r="HW79" s="177"/>
      <c r="HX79" s="177"/>
      <c r="HY79" s="177"/>
      <c r="HZ79" s="177"/>
      <c r="IA79" s="177"/>
      <c r="IB79" s="177"/>
      <c r="IC79" s="177"/>
      <c r="ID79" s="177"/>
      <c r="IE79" s="177"/>
      <c r="IF79" s="177"/>
      <c r="IG79" s="177"/>
      <c r="IH79" s="177"/>
      <c r="II79" s="177"/>
      <c r="IJ79" s="177"/>
      <c r="IK79" s="177"/>
      <c r="IL79" s="177"/>
    </row>
    <row r="80" spans="1:246" ht="15.75" thickBot="1" x14ac:dyDescent="0.3">
      <c r="A80" s="216"/>
      <c r="B80" s="217" t="s">
        <v>226</v>
      </c>
      <c r="C80" s="218" t="s">
        <v>6</v>
      </c>
      <c r="D80" s="219">
        <f>SUM(D13:D20)+SUM(D30:D37)+SUM(D48:D57)+SUM(D68:D75)+D76+D77</f>
        <v>6895.5359199053582</v>
      </c>
      <c r="E80" s="220">
        <f>SUM(E13:E20)+SUM(E30:E37)+SUM(E48:E57)+SUM(E68:E75)+E76+E77</f>
        <v>22068.4307632401</v>
      </c>
      <c r="F80" s="221">
        <f>SUM(F13:F20)+SUM(F30:F37)+SUM(F48:F57)+SUM(F68:F75)+F63+F76+F77</f>
        <v>7606.2109373865696</v>
      </c>
      <c r="G80" s="222">
        <f>+Tableau79569396144277[[#This Row],[Colonne4]]-D81-E81</f>
        <v>0</v>
      </c>
      <c r="H80" s="421"/>
      <c r="I80" s="422">
        <f>Tableau79569396144277[[#This Row],[Colonne4]]*Tableau79569396144277[[#This Row],[Agnelles32]]</f>
        <v>0</v>
      </c>
      <c r="J80" s="168"/>
      <c r="K80" s="223">
        <f>SUM(K13:K20)+SUM(K30:K37)+SUM(K48:K57)+SUM(K68:K75)+K76+K77</f>
        <v>6895.5359199053582</v>
      </c>
      <c r="L80" s="224">
        <f>SUM(L13:L20)+SUM(L30:L37)+SUM(L48:L57)+SUM(L68:L75)+L76+L77</f>
        <v>22068.4307632401</v>
      </c>
      <c r="M80" s="225">
        <f>SUM(M13:M20)+SUM(M30:M37)+SUM(M48:M57)+SUM(M68:M75)+M63+M76+M77</f>
        <v>7606.2109373865696</v>
      </c>
      <c r="N80" s="26">
        <f>M80-K81-L81</f>
        <v>0</v>
      </c>
      <c r="O80" s="21"/>
      <c r="P80" s="31">
        <f>Tableau79569396144277[[#This Row],[Colonne4]]*Tableau79569396144277[[#This Row],[Agnelles32]]</f>
        <v>0</v>
      </c>
      <c r="Q80" s="13"/>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row>
    <row r="81" spans="1:246" ht="61.5" customHeight="1" thickBot="1" x14ac:dyDescent="0.3">
      <c r="A81" s="423"/>
      <c r="B81" s="68" t="s">
        <v>263</v>
      </c>
      <c r="C81" s="69" t="s">
        <v>6</v>
      </c>
      <c r="D81" s="131">
        <f>IF(F45=0,+F15*G15+F16*G16+F18*G18+F19*G19+F20*G20+F33*G33+F34*G34+F35*G35+F37*G37,+F15*G15+F16*G16+F18*G18+F19*G19+F20*G20+F33*G33+F34*G34+F35*G35+F37*G37+F48*G48+F51*G51+F53*G53+F54*G54+F56*G56+F57*G57+(F63*G63)+F76*G76+F77*G77)</f>
        <v>4899.9595695270555</v>
      </c>
      <c r="E81" s="132">
        <f>F80-Tableau79569396144277[[#This Row],[Agneaux]]</f>
        <v>2706.2513678595142</v>
      </c>
      <c r="F81" s="133"/>
      <c r="G81" s="40"/>
      <c r="H81" s="49"/>
      <c r="I81" s="50">
        <f>Tableau79569396144277[[#This Row],[Colonne4]]*Tableau79569396144277[[#This Row],[Agnelles32]]</f>
        <v>0</v>
      </c>
      <c r="J81" s="168"/>
      <c r="K81" s="215">
        <f>IF(M45=0,+M15*N15+M16*N16+M18*N18+M19*N19+M20*N20+M33*N33+M34*N34+M35*N35+M37*N37,+M15*N15+M16*N16+M18*N18+M19*N19+M20*N20+M33*N33+M34*N34+M35*N35+M37*N37+M48*N48+M51*N51+M53*N53+M54*N54+M57*N57+(M63*N63)+M76*N76+M77*N77)</f>
        <v>4899.9595695270555</v>
      </c>
      <c r="L81" s="132">
        <f>+M80-K81</f>
        <v>2706.2513678595142</v>
      </c>
      <c r="M81" s="133"/>
      <c r="N81" s="40"/>
      <c r="O81" s="21"/>
      <c r="P81" s="31">
        <f>Tableau79569396144277[[#This Row],[Colonne4]]*Tableau79569396144277[[#This Row],[Agnelles32]]</f>
        <v>0</v>
      </c>
      <c r="Q81" s="13"/>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row>
    <row r="82" spans="1:246" ht="15.75" thickBot="1" x14ac:dyDescent="0.3">
      <c r="A82" s="23"/>
      <c r="B82" s="208" t="s">
        <v>8</v>
      </c>
      <c r="C82" s="70" t="s">
        <v>6</v>
      </c>
      <c r="D82" s="134">
        <f>(D80+D81)/D66</f>
        <v>1179.5495489432415</v>
      </c>
      <c r="E82" s="135">
        <f>(E80+E81)/E66</f>
        <v>576.15539839766541</v>
      </c>
      <c r="F82" s="136"/>
      <c r="G82" s="169"/>
      <c r="H82" s="424"/>
      <c r="I82" s="425">
        <f>Tableau79569396144277[[#This Row],[Colonne4]]*Tableau79569396144277[[#This Row],[Agnelles32]]</f>
        <v>0</v>
      </c>
      <c r="J82" s="168"/>
      <c r="K82" s="226">
        <f>(K80+K81)/K66</f>
        <v>1179.5495489432415</v>
      </c>
      <c r="L82" s="227">
        <f>(L80+L81)/L66</f>
        <v>576.15539839766541</v>
      </c>
      <c r="M82" s="228"/>
      <c r="N82" s="42"/>
      <c r="O82" s="11"/>
      <c r="P82" s="30">
        <f>Tableau79569396144277[[#This Row],[Colonne4]]*Tableau79569396144277[[#This Row],[Agnelles32]]</f>
        <v>0</v>
      </c>
    </row>
    <row r="83" spans="1:246" x14ac:dyDescent="0.25">
      <c r="A83" s="18"/>
      <c r="B83" s="56" t="s">
        <v>179</v>
      </c>
      <c r="C83" s="57" t="s">
        <v>6</v>
      </c>
      <c r="D83" s="179">
        <f>-'DONNÉES À ENTRER'!B138</f>
        <v>-79.796060000000011</v>
      </c>
      <c r="E83" s="203">
        <f>-'DONNÉES À ENTRER'!B137</f>
        <v>-72.512</v>
      </c>
      <c r="F83" s="178"/>
      <c r="G83" s="426"/>
      <c r="H83" s="427"/>
      <c r="I83" s="427"/>
      <c r="J83" s="202"/>
      <c r="K83" s="200">
        <f>-'DONNÉES À ENTRER'!D138</f>
        <v>-79.796060000000011</v>
      </c>
      <c r="L83" s="203">
        <f>-'DONNÉES À ENTRER'!D137</f>
        <v>-72.512</v>
      </c>
      <c r="M83" s="178"/>
      <c r="N83" s="43"/>
    </row>
    <row r="84" spans="1:246" s="214" customFormat="1" ht="30" customHeight="1" thickBot="1" x14ac:dyDescent="0.3">
      <c r="A84" s="428"/>
      <c r="B84" s="600" t="s">
        <v>279</v>
      </c>
      <c r="C84" s="601"/>
      <c r="D84" s="433">
        <f>+D82+D83</f>
        <v>1099.7534889432413</v>
      </c>
      <c r="E84" s="434">
        <f>+E82+E83</f>
        <v>503.64339839766541</v>
      </c>
      <c r="F84" s="435"/>
      <c r="G84" s="436"/>
      <c r="H84" s="437"/>
      <c r="I84" s="437"/>
      <c r="J84" s="437"/>
      <c r="K84" s="209">
        <f>+K82+K83</f>
        <v>1099.7534889432413</v>
      </c>
      <c r="L84" s="210">
        <f>+L82+L83</f>
        <v>503.64339839766541</v>
      </c>
      <c r="M84" s="211"/>
      <c r="N84" s="212"/>
      <c r="O84" s="213"/>
      <c r="P84" s="213"/>
    </row>
    <row r="85" spans="1:246" x14ac:dyDescent="0.25">
      <c r="A85" s="9"/>
      <c r="B85" s="8"/>
      <c r="C85" s="3"/>
      <c r="D85" s="24"/>
      <c r="E85" s="24"/>
      <c r="F85" s="24"/>
      <c r="G85" s="13"/>
      <c r="K85" s="24"/>
      <c r="L85" s="24"/>
      <c r="M85" s="24"/>
      <c r="N85" s="13"/>
    </row>
    <row r="86" spans="1:246" x14ac:dyDescent="0.25">
      <c r="A86" s="9"/>
      <c r="B86" s="8"/>
      <c r="C86" s="3"/>
      <c r="D86" s="24"/>
      <c r="E86" s="24"/>
      <c r="F86" s="24"/>
      <c r="G86" s="13"/>
      <c r="K86" s="24"/>
      <c r="L86" s="24"/>
      <c r="M86" s="24"/>
      <c r="N86" s="13"/>
    </row>
    <row r="87" spans="1:246" x14ac:dyDescent="0.25">
      <c r="A87" s="9"/>
      <c r="B87" s="8"/>
      <c r="C87" s="3"/>
      <c r="D87" s="24"/>
      <c r="E87" s="24"/>
      <c r="F87" s="24"/>
      <c r="G87" s="13"/>
      <c r="K87" s="24"/>
      <c r="L87" s="24"/>
      <c r="M87" s="24"/>
      <c r="N87" s="13"/>
    </row>
    <row r="88" spans="1:246" x14ac:dyDescent="0.25">
      <c r="A88" s="9"/>
      <c r="B88" s="8"/>
      <c r="C88" s="3"/>
      <c r="D88" s="24"/>
      <c r="E88" s="24"/>
      <c r="F88" s="24"/>
      <c r="G88" s="13"/>
      <c r="K88" s="24"/>
      <c r="L88" s="24"/>
      <c r="M88" s="24"/>
      <c r="N88" s="13"/>
    </row>
    <row r="89" spans="1:246" x14ac:dyDescent="0.25">
      <c r="A89" s="9"/>
      <c r="B89" s="8"/>
      <c r="C89" s="3"/>
      <c r="E89" s="24"/>
      <c r="F89" s="24"/>
      <c r="G89" s="13"/>
      <c r="L89" s="24"/>
      <c r="M89" s="24"/>
      <c r="N89" s="13"/>
    </row>
    <row r="90" spans="1:246" x14ac:dyDescent="0.25">
      <c r="A90" s="9"/>
      <c r="B90" s="8"/>
      <c r="C90" s="3"/>
      <c r="E90" s="25"/>
      <c r="F90" s="25"/>
      <c r="G90" s="13"/>
      <c r="L90" s="25"/>
      <c r="M90" s="25"/>
      <c r="N90" s="13"/>
    </row>
    <row r="91" spans="1:246" x14ac:dyDescent="0.25">
      <c r="A91" s="12"/>
      <c r="B91" s="11"/>
      <c r="C91" s="3"/>
      <c r="E91" s="25"/>
      <c r="F91" s="25"/>
      <c r="G91" s="21"/>
      <c r="L91" s="25"/>
      <c r="M91" s="25"/>
      <c r="N91" s="21"/>
    </row>
    <row r="92" spans="1:246" x14ac:dyDescent="0.25">
      <c r="A92" s="12"/>
      <c r="B92" s="11"/>
      <c r="C92" s="12"/>
      <c r="G92" s="21"/>
      <c r="N92" s="21"/>
    </row>
    <row r="93" spans="1:246" x14ac:dyDescent="0.25">
      <c r="A93" s="12"/>
      <c r="B93" s="11"/>
      <c r="C93" s="12"/>
      <c r="G93" s="21"/>
      <c r="N93" s="21"/>
    </row>
    <row r="94" spans="1:246" x14ac:dyDescent="0.25">
      <c r="A94" s="12"/>
      <c r="B94" s="11"/>
      <c r="C94" s="12"/>
      <c r="G94" s="21"/>
      <c r="N94" s="21"/>
    </row>
    <row r="95" spans="1:246" x14ac:dyDescent="0.25">
      <c r="A95" s="12"/>
      <c r="B95" s="11"/>
      <c r="C95" s="12"/>
      <c r="G95" s="21"/>
      <c r="N95" s="21"/>
    </row>
    <row r="96" spans="1:246" x14ac:dyDescent="0.25">
      <c r="A96" s="12"/>
      <c r="B96" s="11"/>
      <c r="C96" s="12"/>
      <c r="G96" s="21"/>
      <c r="N96" s="21"/>
    </row>
    <row r="97" spans="1:14" x14ac:dyDescent="0.25">
      <c r="A97" s="12"/>
      <c r="B97" s="11"/>
      <c r="C97" s="12"/>
      <c r="G97" s="21"/>
      <c r="N97" s="21"/>
    </row>
    <row r="98" spans="1:14" x14ac:dyDescent="0.25">
      <c r="A98" s="12"/>
      <c r="B98" s="11"/>
      <c r="C98" s="12"/>
      <c r="G98" s="21"/>
      <c r="N98" s="21"/>
    </row>
    <row r="99" spans="1:14" x14ac:dyDescent="0.25">
      <c r="A99" s="12"/>
      <c r="B99" s="11"/>
      <c r="C99" s="12"/>
      <c r="G99" s="21"/>
      <c r="N99" s="21"/>
    </row>
    <row r="100" spans="1:14" x14ac:dyDescent="0.25">
      <c r="A100" s="12"/>
      <c r="B100" s="11"/>
      <c r="C100" s="12"/>
      <c r="G100" s="21"/>
      <c r="N100" s="21"/>
    </row>
    <row r="101" spans="1:14" x14ac:dyDescent="0.25">
      <c r="A101" s="12"/>
      <c r="B101" s="11"/>
      <c r="C101" s="12"/>
      <c r="G101" s="21"/>
      <c r="N101" s="21"/>
    </row>
  </sheetData>
  <sheetProtection algorithmName="SHA-512" hashValue="ooDDnI1sjW8xv76cVP5ani9ikXgSOVCDx9J64wbVospE7D9G7t9pwvAj0qL4e6+H4dq52KI5lIP02hLSUk8/hw==" saltValue="I9L44NtFXfLzl/hI2J1hxw==" spinCount="100000" sheet="1" objects="1" scenarios="1"/>
  <mergeCells count="7">
    <mergeCell ref="B84:C84"/>
    <mergeCell ref="A3:A5"/>
    <mergeCell ref="D4:F4"/>
    <mergeCell ref="K4:M4"/>
    <mergeCell ref="D3:M3"/>
    <mergeCell ref="B3:B5"/>
    <mergeCell ref="C3:C5"/>
  </mergeCells>
  <conditionalFormatting sqref="Q1:IT4">
    <cfRule type="dataBar" priority="5">
      <dataBar>
        <cfvo type="min"/>
        <cfvo type="max"/>
        <color rgb="FF638EC6"/>
      </dataBar>
      <extLst>
        <ext xmlns:x14="http://schemas.microsoft.com/office/spreadsheetml/2009/9/main" uri="{B025F937-C7B1-47D3-B67F-A62EFF666E3E}">
          <x14:id>{A80634AE-3D06-43EE-995D-CC0B6EE01DA7}</x14:id>
        </ext>
      </extLst>
    </cfRule>
  </conditionalFormatting>
  <printOptions horizontalCentered="1"/>
  <pageMargins left="0.51181102362204722" right="0.51181102362204722" top="0.55118110236220474" bottom="0.55118110236220474" header="0.31496062992125984" footer="0.31496062992125984"/>
  <pageSetup scale="65" fitToHeight="0" orientation="landscape" r:id="rId1"/>
  <headerFooter>
    <oddFooter>&amp;C&amp;9&amp;F&amp;R&amp;9Copyright © 2018   |   SEMRPQ</oddFooter>
  </headerFooter>
  <rowBreaks count="1" manualBreakCount="1">
    <brk id="43" max="16383" man="1"/>
  </rowBreaks>
  <colBreaks count="1" manualBreakCount="1">
    <brk id="16" max="1048575"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80634AE-3D06-43EE-995D-CC0B6EE01DA7}">
            <x14:dataBar minLength="0" maxLength="100" negativeBarColorSameAsPositive="1" axisPosition="none">
              <x14:cfvo type="min"/>
              <x14:cfvo type="max"/>
            </x14:dataBar>
          </x14:cfRule>
          <xm:sqref>Q1:IT4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E17"/>
  <sheetViews>
    <sheetView zoomScaleNormal="100" workbookViewId="0">
      <selection sqref="A1:E1"/>
    </sheetView>
  </sheetViews>
  <sheetFormatPr baseColWidth="10" defaultRowHeight="15" x14ac:dyDescent="0.25"/>
  <cols>
    <col min="1" max="1" width="48.5703125" customWidth="1"/>
    <col min="2" max="5" width="17.85546875" customWidth="1"/>
  </cols>
  <sheetData>
    <row r="1" spans="1:5" s="457" customFormat="1" ht="44.25" customHeight="1" x14ac:dyDescent="0.25">
      <c r="A1" s="618" t="s">
        <v>288</v>
      </c>
      <c r="B1" s="618"/>
      <c r="C1" s="618"/>
      <c r="D1" s="618"/>
      <c r="E1" s="618"/>
    </row>
    <row r="2" spans="1:5" s="457" customFormat="1" ht="18.75" customHeight="1" thickBot="1" x14ac:dyDescent="0.3">
      <c r="A2" s="47"/>
      <c r="B2" s="47"/>
      <c r="C2" s="47"/>
      <c r="D2" s="47"/>
      <c r="E2" s="47"/>
    </row>
    <row r="3" spans="1:5" s="457" customFormat="1" ht="24" customHeight="1" x14ac:dyDescent="0.25">
      <c r="A3" s="623" t="s">
        <v>130</v>
      </c>
      <c r="B3" s="619" t="s">
        <v>228</v>
      </c>
      <c r="C3" s="620"/>
      <c r="D3" s="621" t="s">
        <v>3</v>
      </c>
      <c r="E3" s="622"/>
    </row>
    <row r="4" spans="1:5" s="457" customFormat="1" ht="28.5" customHeight="1" thickBot="1" x14ac:dyDescent="0.3">
      <c r="A4" s="624"/>
      <c r="B4" s="474" t="s">
        <v>229</v>
      </c>
      <c r="C4" s="476" t="s">
        <v>231</v>
      </c>
      <c r="D4" s="475" t="s">
        <v>230</v>
      </c>
      <c r="E4" s="484" t="s">
        <v>232</v>
      </c>
    </row>
    <row r="5" spans="1:5" s="457" customFormat="1" ht="18" customHeight="1" thickTop="1" x14ac:dyDescent="0.25">
      <c r="A5" s="458" t="s">
        <v>196</v>
      </c>
      <c r="B5" s="451">
        <f>'DONNÉES À ENTRER'!B5*'DONNÉES À ENTRER'!B6*0.5</f>
        <v>80.5</v>
      </c>
      <c r="C5" s="477" t="s">
        <v>147</v>
      </c>
      <c r="D5" s="466">
        <f>'DONNÉES À ENTRER'!B5*'DONNÉES À ENTRER'!B6*0.5</f>
        <v>80.5</v>
      </c>
      <c r="E5" s="489" t="s">
        <v>147</v>
      </c>
    </row>
    <row r="6" spans="1:5" s="457" customFormat="1" ht="18" customHeight="1" x14ac:dyDescent="0.25">
      <c r="A6" s="459" t="s">
        <v>194</v>
      </c>
      <c r="B6" s="452">
        <f>'Grille de calculs - PATERNELLE'!D8</f>
        <v>10</v>
      </c>
      <c r="C6" s="478" t="s">
        <v>147</v>
      </c>
      <c r="D6" s="467">
        <f>'Grille de calculs - PATERNELLE'!E8</f>
        <v>43</v>
      </c>
      <c r="E6" s="490" t="s">
        <v>147</v>
      </c>
    </row>
    <row r="7" spans="1:5" s="457" customFormat="1" ht="18" customHeight="1" x14ac:dyDescent="0.25">
      <c r="A7" s="460" t="s">
        <v>195</v>
      </c>
      <c r="B7" s="453">
        <f>'Grille de calculs - PATERNELLE'!D9</f>
        <v>0.12422360248447205</v>
      </c>
      <c r="C7" s="479" t="s">
        <v>147</v>
      </c>
      <c r="D7" s="468">
        <f>'Grille de calculs - PATERNELLE'!E9</f>
        <v>0.53416149068322982</v>
      </c>
      <c r="E7" s="491" t="s">
        <v>147</v>
      </c>
    </row>
    <row r="8" spans="1:5" s="457" customFormat="1" ht="18" customHeight="1" x14ac:dyDescent="0.25">
      <c r="A8" s="458" t="s">
        <v>233</v>
      </c>
      <c r="B8" s="454">
        <f>'Grille de calculs - PATERNELLE'!D13</f>
        <v>2600</v>
      </c>
      <c r="C8" s="480">
        <f>B8/B$6</f>
        <v>260</v>
      </c>
      <c r="D8" s="469">
        <f>'Grille de calculs - PATERNELLE'!E13</f>
        <v>11180</v>
      </c>
      <c r="E8" s="485">
        <f>D8/D$6</f>
        <v>260</v>
      </c>
    </row>
    <row r="9" spans="1:5" s="457" customFormat="1" ht="18" customHeight="1" x14ac:dyDescent="0.25">
      <c r="A9" s="459" t="s">
        <v>190</v>
      </c>
      <c r="B9" s="455">
        <f>'Grille de calculs - PATERNELLE'!D15+'Grille de calculs - PATERNELLE'!D16+'Grille de calculs - PATERNELLE'!F15*'Grille de calculs - PATERNELLE'!G15+'Grille de calculs - PATERNELLE'!F16*'Grille de calculs - PATERNELLE'!G16</f>
        <v>4401.7727272727261</v>
      </c>
      <c r="C9" s="481">
        <f>B9/B$6</f>
        <v>440.17727272727262</v>
      </c>
      <c r="D9" s="470">
        <f>'Grille de calculs - PATERNELLE'!E15+'Grille de calculs - PATERNELLE'!E16+('Grille de calculs - PATERNELLE'!F15*'Grille de calculs - PATERNELLE'!H15)+('Grille de calculs - PATERNELLE'!F16*'Grille de calculs - PATERNELLE'!H16)</f>
        <v>4456.4531338226989</v>
      </c>
      <c r="E9" s="486">
        <f>D9/D$6</f>
        <v>103.6384449726209</v>
      </c>
    </row>
    <row r="10" spans="1:5" s="457" customFormat="1" ht="18" customHeight="1" x14ac:dyDescent="0.25">
      <c r="A10" s="459" t="s">
        <v>191</v>
      </c>
      <c r="B10" s="455">
        <f>'Grille de calculs - PATERNELLE'!D30+'Grille de calculs - PATERNELLE'!D48+'Grille de calculs - PATERNELLE'!F48*'Grille de calculs - PATERNELLE'!G48+'Grille de calculs - PATERNELLE'!D51+'Grille de calculs - PATERNELLE'!F51*'Grille de calculs - PATERNELLE'!G51</f>
        <v>1323.0695892156864</v>
      </c>
      <c r="C10" s="481">
        <f>B10/B$6</f>
        <v>132.30695892156865</v>
      </c>
      <c r="D10" s="470">
        <f>'Grille de calculs - PATERNELLE'!E31+'Grille de calculs - PATERNELLE'!E49+'Grille de calculs - PATERNELLE'!F49*'Grille de calculs - PATERNELLE'!H49</f>
        <v>2180.8555547058827</v>
      </c>
      <c r="E10" s="486">
        <f>D10/D$6</f>
        <v>50.717571039671689</v>
      </c>
    </row>
    <row r="11" spans="1:5" s="457" customFormat="1" ht="18" customHeight="1" x14ac:dyDescent="0.25">
      <c r="A11" s="459" t="s">
        <v>192</v>
      </c>
      <c r="B11" s="455">
        <f>SUM('Grille de calculs - PATERNELLE'!D18:D20)+SUMPRODUCT('Grille de calculs - PATERNELLE'!F18:F20,'Grille de calculs - PATERNELLE'!G18:G20)+SUM('Grille de calculs - PATERNELLE'!D33:D35)+SUMPRODUCT('Grille de calculs - PATERNELLE'!F33:F35,'Grille de calculs - PATERNELLE'!G33:G35)+SUM('Grille de calculs - PATERNELLE'!D53:D54)+SUMPRODUCT('Grille de calculs - PATERNELLE'!F53:F54,'Grille de calculs - PATERNELLE'!G53:G54)+SUM('Grille de calculs - PATERNELLE'!D68:D70)</f>
        <v>1234.1199040000001</v>
      </c>
      <c r="C11" s="481">
        <f>B11/B$6</f>
        <v>123.41199040000001</v>
      </c>
      <c r="D11" s="470">
        <f>SUM('Grille de calculs - PATERNELLE'!E18:E20)+SUMPRODUCT('Grille de calculs - PATERNELLE'!F18:F20,'Grille de calculs - PATERNELLE'!H18:H20)+SUM('Grille de calculs - PATERNELLE'!E33:E35)+SUMPRODUCT('Grille de calculs - PATERNELLE'!F33:F35,'Grille de calculs - PATERNELLE'!H33:H35)+SUM('Grille de calculs - PATERNELLE'!E53:E54)+SUMPRODUCT('Grille de calculs - PATERNELLE'!F53:F54,'Grille de calculs - PATERNELLE'!H53:H54)+SUM('Grille de calculs - PATERNELLE'!E68:E70)</f>
        <v>1044.3434567950312</v>
      </c>
      <c r="E11" s="486">
        <f>D11/D$6</f>
        <v>24.287057134768169</v>
      </c>
    </row>
    <row r="12" spans="1:5" s="457" customFormat="1" ht="18" customHeight="1" x14ac:dyDescent="0.25">
      <c r="A12" s="459" t="s">
        <v>193</v>
      </c>
      <c r="B12" s="455">
        <f>'Grille de calculs - PATERNELLE'!D37+'Grille de calculs - PATERNELLE'!F37*'Grille de calculs - PATERNELLE'!G37+'Grille de calculs - PATERNELLE'!D56+'Grille de calculs - PATERNELLE'!F56*'Grille de calculs - PATERNELLE'!G56+'Grille de calculs - PATERNELLE'!D57+'Grille de calculs - PATERNELLE'!F57*'Grille de calculs - PATERNELLE'!G57+SUM('Grille de calculs - PATERNELLE'!D72:D75)</f>
        <v>1347.56</v>
      </c>
      <c r="C12" s="481">
        <f>B12/B$6</f>
        <v>134.756</v>
      </c>
      <c r="D12" s="470">
        <f>'Grille de calculs - PATERNELLE'!E37+'Grille de calculs - PATERNELLE'!F37*'Grille de calculs - PATERNELLE'!H37+'Grille de calculs - PATERNELLE'!E56+'Grille de calculs - PATERNELLE'!F56*'Grille de calculs - PATERNELLE'!H56+'Grille de calculs - PATERNELLE'!E57+'Grille de calculs - PATERNELLE'!F57*'Grille de calculs - PATERNELLE'!H57+'Grille de calculs - PATERNELLE'!E72+'Grille de calculs - PATERNELLE'!E73+'Grille de calculs - PATERNELLE'!E74+'Grille de calculs - PATERNELLE'!E75</f>
        <v>3418.78</v>
      </c>
      <c r="E12" s="486">
        <f>D12/D$6</f>
        <v>79.506511627906988</v>
      </c>
    </row>
    <row r="13" spans="1:5" s="457" customFormat="1" ht="18" customHeight="1" x14ac:dyDescent="0.25">
      <c r="A13" s="459" t="s">
        <v>197</v>
      </c>
      <c r="B13" s="455">
        <f>'Grille de calculs - PATERNELLE'!D76+'Grille de calculs - PATERNELLE'!F76*'Grille de calculs - PATERNELLE'!G76</f>
        <v>552.19500000000005</v>
      </c>
      <c r="C13" s="481">
        <f t="shared" ref="C13:C16" si="0">B13/B$6</f>
        <v>55.219500000000004</v>
      </c>
      <c r="D13" s="470">
        <f>'Grille de calculs - PATERNELLE'!E76+'Grille de calculs - PATERNELLE'!F76*'Grille de calculs - PATERNELLE'!H76</f>
        <v>1330.5149999999999</v>
      </c>
      <c r="E13" s="486">
        <f t="shared" ref="E13:E16" si="1">D13/D$6</f>
        <v>30.94220930232558</v>
      </c>
    </row>
    <row r="14" spans="1:5" s="457" customFormat="1" ht="18" customHeight="1" x14ac:dyDescent="0.25">
      <c r="A14" s="460" t="s">
        <v>234</v>
      </c>
      <c r="B14" s="456">
        <f>'Grille de calculs - PATERNELLE'!D77+'Grille de calculs - PATERNELLE'!F77*'Grille de calculs - PATERNELLE'!G77</f>
        <v>275.65223894399981</v>
      </c>
      <c r="C14" s="482">
        <f t="shared" si="0"/>
        <v>27.565223894399981</v>
      </c>
      <c r="D14" s="471">
        <f>'Grille de calculs - PATERNELLE'!E77+'Grille de calculs - PATERNELLE'!F77*'Grille de calculs - PATERNELLE'!H77</f>
        <v>1102.6089557759992</v>
      </c>
      <c r="E14" s="487">
        <f t="shared" si="1"/>
        <v>25.642068738976725</v>
      </c>
    </row>
    <row r="15" spans="1:5" s="457" customFormat="1" ht="18" customHeight="1" x14ac:dyDescent="0.25">
      <c r="A15" s="458" t="s">
        <v>198</v>
      </c>
      <c r="B15" s="454">
        <f>'Grille de calculs - PATERNELLE'!D83*B6</f>
        <v>-797.96060000000011</v>
      </c>
      <c r="C15" s="480">
        <f t="shared" si="0"/>
        <v>-79.796060000000011</v>
      </c>
      <c r="D15" s="469">
        <f>'Grille de calculs - PATERNELLE'!E83*D6</f>
        <v>-3118.0160000000001</v>
      </c>
      <c r="E15" s="485">
        <f t="shared" si="1"/>
        <v>-72.512</v>
      </c>
    </row>
    <row r="16" spans="1:5" s="457" customFormat="1" ht="36" customHeight="1" thickBot="1" x14ac:dyDescent="0.3">
      <c r="A16" s="461" t="s">
        <v>235</v>
      </c>
      <c r="B16" s="462">
        <f>'Grille de calculs - PATERNELLE'!F63*'Grille de calculs - PATERNELLE'!G63</f>
        <v>61.126030000000007</v>
      </c>
      <c r="C16" s="483">
        <f t="shared" si="0"/>
        <v>6.1126030000000009</v>
      </c>
      <c r="D16" s="472">
        <f>'Grille de calculs - PATERNELLE'!F63*'Grille de calculs - PATERNELLE'!H63</f>
        <v>61.126030000000007</v>
      </c>
      <c r="E16" s="488">
        <f t="shared" si="1"/>
        <v>1.421535581395349</v>
      </c>
    </row>
    <row r="17" spans="1:5" s="457" customFormat="1" ht="31.5" customHeight="1" thickBot="1" x14ac:dyDescent="0.3">
      <c r="A17" s="492" t="s">
        <v>278</v>
      </c>
      <c r="B17" s="463">
        <f>SUM(B8:B16)</f>
        <v>10997.534889432409</v>
      </c>
      <c r="C17" s="465">
        <f t="shared" ref="C17:E17" si="2">SUM(C8:C16)</f>
        <v>1099.7534889432409</v>
      </c>
      <c r="D17" s="473">
        <f t="shared" si="2"/>
        <v>21656.66613109961</v>
      </c>
      <c r="E17" s="464">
        <f t="shared" si="2"/>
        <v>503.64339839766541</v>
      </c>
    </row>
  </sheetData>
  <sheetProtection algorithmName="SHA-512" hashValue="cviEWiOLAFs7W7rBJdltCmvzxvIJ1p3HXl2Mnhe7zTOY5/GQMNMsVUdUBvhb3zSI+9ZY6BX1eMZe+4sWpOvDng==" saltValue="lkoFgYSLGRsG/CdHSr6lxw==" spinCount="100000" sheet="1" objects="1" scenarios="1"/>
  <mergeCells count="4">
    <mergeCell ref="A1:E1"/>
    <mergeCell ref="B3:C3"/>
    <mergeCell ref="D3:E3"/>
    <mergeCell ref="A3:A4"/>
  </mergeCells>
  <printOptions horizontalCentered="1"/>
  <pageMargins left="0.70866141732283472" right="0.70866141732283472" top="0.74803149606299213" bottom="0.74803149606299213" header="0.31496062992125984" footer="0.31496062992125984"/>
  <pageSetup orientation="landscape" r:id="rId1"/>
  <headerFooter>
    <oddFooter>&amp;L&amp;9&amp;F&amp;R&amp;9Copyright © 2018   |   SEMRPQ</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Accueil</vt:lpstr>
      <vt:lpstr>CONSIGNES</vt:lpstr>
      <vt:lpstr>DONNÉES À ENTRER</vt:lpstr>
      <vt:lpstr>Grille de calculs - PATERNELLE</vt:lpstr>
      <vt:lpstr>Sommaire des résultats</vt:lpstr>
      <vt:lpstr>'DONNÉES À ENTRER'!Impression_des_titres</vt:lpstr>
      <vt:lpstr>'Grille de calculs - PATERNELLE'!Impression_des_titres</vt:lpstr>
      <vt:lpstr>'DONNÉES À ENTRER'!Zone_d_impression</vt:lpstr>
      <vt:lpstr>'Sommaire des résultats'!Zone_d_impression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c:creator>
  <cp:lastModifiedBy>Hélène Méthot</cp:lastModifiedBy>
  <cp:lastPrinted>2018-04-05T14:39:56Z</cp:lastPrinted>
  <dcterms:created xsi:type="dcterms:W3CDTF">2017-10-18T20:53:59Z</dcterms:created>
  <dcterms:modified xsi:type="dcterms:W3CDTF">2018-04-05T17:35:26Z</dcterms:modified>
</cp:coreProperties>
</file>